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6EbUV/JsjAK6EZl/QiDydzBgap4vF08CUccKXf1LEaWSzBETpQ+tdqQQ8H8exT+I/Uf1a+iPYvsSoEQE+DQ/MQ==" workbookSaltValue="0+Ze6Bwo0sj9+iORHO+z9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AY18" i="8" s="1"/>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D10" i="6"/>
  <c r="ES19" i="8"/>
  <c r="BH19" i="13"/>
  <c r="R19" i="8"/>
  <c r="EP19" i="8"/>
  <c r="EP19" i="19"/>
  <c r="AT17" i="20"/>
  <c r="AO12" i="11"/>
  <c r="H13" i="12"/>
  <c r="T13" i="12"/>
  <c r="T13" i="16"/>
  <c r="T13" i="20"/>
  <c r="BD12" i="8"/>
  <c r="BF9" i="8"/>
  <c r="J18" i="17"/>
  <c r="BG15" i="13"/>
  <c r="BE15" i="13"/>
  <c r="AH20" i="20"/>
  <c r="AL20" i="20"/>
  <c r="AB20" i="20"/>
  <c r="Y20" i="20"/>
  <c r="AO20" i="20"/>
  <c r="AN20" i="20"/>
  <c r="U10" i="11"/>
  <c r="T19" i="8" l="1"/>
  <c r="BG15" i="8"/>
  <c r="K15" i="7" s="1"/>
  <c r="AC10" i="11"/>
  <c r="AY13" i="8"/>
  <c r="BD9" i="8"/>
  <c r="H9" i="7" s="1"/>
  <c r="B10" i="6"/>
  <c r="M13" i="2"/>
  <c r="K18" i="2"/>
  <c r="AL12" i="11"/>
  <c r="H12" i="7"/>
  <c r="E12" i="6"/>
  <c r="H12" i="2"/>
  <c r="L9" i="14"/>
  <c r="C10" i="6"/>
  <c r="AO17" i="11"/>
  <c r="L16" i="14"/>
  <c r="L17" i="14"/>
  <c r="N13" i="2"/>
  <c r="F9" i="2"/>
  <c r="AL9" i="11"/>
  <c r="BB13" i="13"/>
  <c r="C17" i="6"/>
  <c r="R8" i="9"/>
  <c r="BF15" i="13"/>
  <c r="BG16" i="13"/>
  <c r="BE16" i="13"/>
  <c r="F15" i="17"/>
  <c r="AQ15" i="17" s="1"/>
  <c r="L12" i="14"/>
  <c r="BA13" i="13"/>
  <c r="L16" i="2"/>
  <c r="BH16" i="11"/>
  <c r="BJ10" i="11"/>
  <c r="Q17" i="17"/>
  <c r="BU12" i="17"/>
  <c r="BW11" i="20"/>
  <c r="T9" i="11"/>
  <c r="BH11" i="16"/>
  <c r="AP16" i="20"/>
  <c r="V15" i="11"/>
  <c r="BH15" i="11"/>
  <c r="Q17" i="20"/>
  <c r="Q18" i="20" s="1"/>
  <c r="BF17" i="11"/>
  <c r="S17" i="16"/>
  <c r="V17" i="16"/>
  <c r="AP10" i="21"/>
  <c r="BH9" i="11"/>
  <c r="BJ15" i="11"/>
  <c r="AP15" i="20"/>
  <c r="R17" i="20"/>
  <c r="R18" i="20" s="1"/>
  <c r="AZ9" i="11"/>
  <c r="AZ19" i="11" s="1"/>
  <c r="BU15" i="17"/>
  <c r="BW17" i="20"/>
  <c r="BW16" i="20"/>
  <c r="BW15" i="20"/>
  <c r="BV10" i="16"/>
  <c r="BU16" i="17"/>
  <c r="AZ16" i="11"/>
  <c r="S15" i="16"/>
  <c r="BF12" i="11"/>
  <c r="BL10" i="11"/>
  <c r="Q15" i="17"/>
  <c r="BF15" i="11"/>
  <c r="BH12" i="16"/>
  <c r="L15" i="2"/>
  <c r="V10" i="16"/>
  <c r="BL9" i="11"/>
  <c r="BG10" i="11"/>
  <c r="P17" i="17"/>
  <c r="BK12" i="11"/>
  <c r="BK9" i="11"/>
  <c r="V11" i="11"/>
  <c r="Q10" i="21"/>
  <c r="BJ11" i="11"/>
  <c r="BI17" i="11"/>
  <c r="BL11" i="11"/>
  <c r="BM15" i="11"/>
  <c r="T15" i="16"/>
  <c r="BV17" i="16"/>
  <c r="BV12" i="16"/>
  <c r="S17" i="14"/>
  <c r="V17" i="14" s="1"/>
  <c r="R12" i="14"/>
  <c r="S9" i="14"/>
  <c r="V9" i="14" s="1"/>
  <c r="T15" i="11"/>
  <c r="X10" i="17"/>
  <c r="X15" i="17"/>
  <c r="X11" i="17"/>
  <c r="X17" i="20"/>
  <c r="V12" i="21"/>
  <c r="X16" i="20"/>
  <c r="S15" i="17"/>
  <c r="X9" i="16"/>
  <c r="X19" i="16" s="1"/>
  <c r="X15" i="16"/>
  <c r="X18" i="16" s="1"/>
  <c r="S16" i="14"/>
  <c r="V16" i="14" s="1"/>
  <c r="R17" i="14"/>
  <c r="T11" i="11"/>
  <c r="AA16" i="16"/>
  <c r="X12" i="17"/>
  <c r="X17" i="17"/>
  <c r="AA11" i="16"/>
  <c r="V15" i="16"/>
  <c r="S11" i="17"/>
  <c r="AZ11" i="11"/>
  <c r="AZ17" i="11"/>
  <c r="L12" i="2"/>
  <c r="X12" i="16"/>
  <c r="BG10" i="8"/>
  <c r="K10" i="7" s="1"/>
  <c r="BA13" i="8"/>
  <c r="H9" i="2"/>
  <c r="BE11" i="8"/>
  <c r="BG12" i="8"/>
  <c r="K12" i="7" s="1"/>
  <c r="BF15" i="8"/>
  <c r="BG9" i="8"/>
  <c r="K9" i="7" s="1"/>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J11" i="7" s="1"/>
  <c r="BE12" i="8"/>
  <c r="BE15" i="8"/>
  <c r="AO15" i="17"/>
  <c r="C16" i="6"/>
  <c r="U19" i="8"/>
  <c r="Y19" i="8"/>
  <c r="AI19" i="8"/>
  <c r="BK19" i="8"/>
  <c r="B11" i="6"/>
  <c r="C12" i="14"/>
  <c r="K12" i="14" s="1"/>
  <c r="K18" i="11"/>
  <c r="E9" i="6"/>
  <c r="I9" i="7"/>
  <c r="AO10" i="17"/>
  <c r="AO12" i="17"/>
  <c r="AO11" i="11"/>
  <c r="AL11" i="11"/>
  <c r="AO15" i="11"/>
  <c r="H16" i="7"/>
  <c r="AN17" i="11"/>
  <c r="D15" i="6"/>
  <c r="AN11" i="11"/>
  <c r="M18" i="2"/>
  <c r="N18" i="2"/>
  <c r="BB19" i="19"/>
  <c r="CJ19" i="19"/>
  <c r="Y19" i="19"/>
  <c r="AG19" i="19"/>
  <c r="W13" i="17"/>
  <c r="S18" i="16"/>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3" i="2" l="1"/>
  <c r="F13" i="2"/>
  <c r="K9" i="12"/>
  <c r="C13" i="6"/>
  <c r="J18" i="2"/>
  <c r="AZ13" i="11"/>
  <c r="BW12" i="20"/>
  <c r="BH10" i="11"/>
  <c r="BK16" i="11"/>
  <c r="AQ12" i="21"/>
  <c r="U9" i="17"/>
  <c r="U19" i="17" s="1"/>
  <c r="BV11" i="16"/>
  <c r="V12" i="16"/>
  <c r="BG12" i="11"/>
  <c r="AQ10" i="21"/>
  <c r="BG16" i="11"/>
  <c r="BL16" i="11"/>
  <c r="U10" i="17"/>
  <c r="L9" i="2"/>
  <c r="BJ16" i="11"/>
  <c r="BH11" i="11"/>
  <c r="BI9" i="11"/>
  <c r="AZ12" i="11"/>
  <c r="BW10" i="20"/>
  <c r="X12" i="21"/>
  <c r="X19" i="21" s="1"/>
  <c r="BF11" i="11"/>
  <c r="T17" i="11"/>
  <c r="BH9" i="16"/>
  <c r="BJ17" i="11"/>
  <c r="BH15" i="16"/>
  <c r="V11" i="16"/>
  <c r="BF16" i="11"/>
  <c r="BL12" i="11"/>
  <c r="BK11" i="11"/>
  <c r="BM12" i="11"/>
  <c r="BI15" i="11"/>
  <c r="BJ12" i="11"/>
  <c r="BG15" i="11"/>
  <c r="BK17" i="11"/>
  <c r="AP17" i="20"/>
  <c r="BW9" i="20"/>
  <c r="BW21" i="20" s="1"/>
  <c r="BV16" i="16"/>
  <c r="BV15" i="16"/>
  <c r="BU9" i="17"/>
  <c r="BU17" i="17"/>
  <c r="BV9" i="16"/>
  <c r="T16" i="11"/>
  <c r="P15" i="17"/>
  <c r="P18" i="17" s="1"/>
  <c r="P19" i="17" s="1"/>
  <c r="BL15" i="11"/>
  <c r="Q15" i="11" s="1"/>
  <c r="BH10" i="16"/>
  <c r="BM17" i="11"/>
  <c r="P17" i="11" s="1"/>
  <c r="BM9" i="11"/>
  <c r="BK10" i="11"/>
  <c r="BK13" i="11" s="1"/>
  <c r="L17" i="2"/>
  <c r="V9" i="16"/>
  <c r="BH17" i="16"/>
  <c r="BM16" i="11"/>
  <c r="BL17" i="11"/>
  <c r="BF10" i="11"/>
  <c r="Q10" i="11" s="1"/>
  <c r="BK15" i="11"/>
  <c r="BI10" i="11"/>
  <c r="V9" i="11"/>
  <c r="R10" i="21"/>
  <c r="BG9" i="11"/>
  <c r="BH17" i="11"/>
  <c r="T17" i="16"/>
  <c r="BU11" i="17"/>
  <c r="BU21" i="17" s="1"/>
  <c r="BU10" i="17"/>
  <c r="S10" i="14"/>
  <c r="V10" i="14" s="1"/>
  <c r="R10" i="14"/>
  <c r="R16" i="14"/>
  <c r="S15" i="14"/>
  <c r="V15" i="14" s="1"/>
  <c r="X16" i="17"/>
  <c r="AA15" i="16"/>
  <c r="X9" i="17"/>
  <c r="T17" i="20"/>
  <c r="U10" i="21"/>
  <c r="AA12" i="21"/>
  <c r="S10" i="17"/>
  <c r="L11" i="2"/>
  <c r="V15" i="20"/>
  <c r="V18" i="20" s="1"/>
  <c r="S12" i="14"/>
  <c r="V12" i="14" s="1"/>
  <c r="R11" i="14"/>
  <c r="T12" i="11"/>
  <c r="S11" i="14"/>
  <c r="V11" i="14" s="1"/>
  <c r="AA10" i="16"/>
  <c r="AA17" i="16"/>
  <c r="AA9" i="16"/>
  <c r="X13" i="20"/>
  <c r="S9" i="17"/>
  <c r="S17" i="17"/>
  <c r="AZ15" i="11"/>
  <c r="AZ18" i="11" s="1"/>
  <c r="L10" i="2"/>
  <c r="X10" i="21"/>
  <c r="S16" i="17"/>
  <c r="AM15" i="11"/>
  <c r="AO16" i="17"/>
  <c r="AO17" i="17"/>
  <c r="AM9" i="11"/>
  <c r="V10" i="21"/>
  <c r="X13" i="17"/>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BV13" i="16"/>
  <c r="I17" i="12"/>
  <c r="P9"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AO18" i="17"/>
  <c r="R13" i="21"/>
  <c r="R19" i="21"/>
  <c r="U13" i="17"/>
  <c r="BL18" i="11"/>
  <c r="P15" i="11"/>
  <c r="V19" i="20"/>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<sst xmlns="http://schemas.openxmlformats.org/spreadsheetml/2006/main" count="2088" uniqueCount="915">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</sst>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b20vdIZefVcYqz2oD92fF4PIDbDM+08Qmm/1vMP4KeaY9hmGyVUNmUNJW36cXLVH4zCWOAZSw2vUN/p1mSCQw==" saltValue="uCrb0HTyuD8Mn1PfFEU0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MADRID</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91</v>
      </c>
      <c r="C9" s="403">
        <f>IF(ISNUMBER(IF(J_V="SI",Datos!I9,Datos!I9+Datos!Y9)),IF(J_V="SI",Datos!I9,Datos!I9+Datos!Y9)," - ")</f>
        <v>295433</v>
      </c>
      <c r="D9" s="404">
        <f>IF(ISNUMBER(C9/Datos!BH9),C9/Datos!BH9," - ")</f>
        <v>3246.5164835164837</v>
      </c>
      <c r="E9" s="403">
        <f>IF(ISNUMBER(IF(J_V="SI",Datos!J9,Datos!J9+Datos!Z9)),IF(J_V="SI",Datos!J9,Datos!J9+Datos!Z9)," - ")</f>
        <v>98715</v>
      </c>
      <c r="F9" s="404">
        <f>IF(ISNUMBER(E9/B9),E9/B9," - ")</f>
        <v>1084.7802197802198</v>
      </c>
      <c r="G9" s="403">
        <f>IF(ISNUMBER(IF(J_V="SI",Datos!K9,Datos!K9+Datos!AA9)),IF(J_V="SI",Datos!K9,Datos!K9+Datos!AA9)," - ")</f>
        <v>84691</v>
      </c>
      <c r="H9" s="404">
        <f>IF(ISNUMBER(G9/B9),G9/B9," - ")</f>
        <v>930.67032967032969</v>
      </c>
      <c r="I9" s="403">
        <f>IF(ISNUMBER(IF(J_V="SI",Datos!L9,Datos!L9+Datos!AB9)),IF(J_V="SI",Datos!L9,Datos!L9+Datos!AB9)," - ")</f>
        <v>310287</v>
      </c>
      <c r="J9" s="404">
        <f>IF(ISNUMBER(I9/B9),I9/B9," - ")</f>
        <v>3409.7472527472528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11</v>
      </c>
      <c r="C10" s="403">
        <f>IF(ISNUMBER(Datos!I10),Datos!I10," - ")</f>
        <v>1074</v>
      </c>
      <c r="D10" s="404">
        <f>IF(ISNUMBER(C10/Datos!BH10),C10/Datos!BH10," - ")</f>
        <v>97.63636363636364</v>
      </c>
      <c r="E10" s="403">
        <f>IF(ISNUMBER(Datos!J10),Datos!J10," - ")</f>
        <v>474</v>
      </c>
      <c r="F10" s="404">
        <f>IF(ISNUMBER(E10/B10),E10/B10," - ")</f>
        <v>43.090909090909093</v>
      </c>
      <c r="G10" s="403">
        <f>IF(ISNUMBER(Datos!K10),Datos!K10," - ")</f>
        <v>491</v>
      </c>
      <c r="H10" s="404">
        <f>IF(ISNUMBER(G10/B10),G10/B10," - ")</f>
        <v>44.636363636363633</v>
      </c>
      <c r="I10" s="403">
        <f>IF(ISNUMBER(Datos!L10),Datos!L10," - ")</f>
        <v>1056</v>
      </c>
      <c r="J10" s="404">
        <f>IF(ISNUMBER(I10/B10),I10/B10," - ")</f>
        <v>96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14</v>
      </c>
      <c r="C11" s="403">
        <f>IF(ISNUMBER(IF(J_V="SI",Datos!I11,Datos!I11+Datos!Y11)),IF(J_V="SI",Datos!I11,Datos!I11+Datos!Y11)," - ")</f>
        <v>6022</v>
      </c>
      <c r="D11" s="404">
        <f>IF(ISNUMBER(C11/Datos!BH11),C11/Datos!BH11," - ")</f>
        <v>430.14285714285717</v>
      </c>
      <c r="E11" s="403">
        <f>IF(ISNUMBER(IF(J_V="SI",Datos!J11,Datos!J11+Datos!Z11)),IF(J_V="SI",Datos!J11,Datos!J11+Datos!Z11)," - ")</f>
        <v>4133</v>
      </c>
      <c r="F11" s="404">
        <f>IF(ISNUMBER(E11/B11),E11/B11," - ")</f>
        <v>295.21428571428572</v>
      </c>
      <c r="G11" s="403">
        <f>IF(ISNUMBER(IF(J_V="SI",Datos!K11,Datos!K11+Datos!AA11)),IF(J_V="SI",Datos!K11,Datos!K11+Datos!AA11)," - ")</f>
        <v>4111</v>
      </c>
      <c r="H11" s="404">
        <f>IF(ISNUMBER(G11/B11),G11/B11," - ")</f>
        <v>293.64285714285717</v>
      </c>
      <c r="I11" s="403">
        <f>IF(ISNUMBER(IF(J_V="SI",Datos!L11,Datos!L11+Datos!AB11)),IF(J_V="SI",Datos!L11,Datos!L11+Datos!AB11)," - ")</f>
        <v>6045</v>
      </c>
      <c r="J11" s="404">
        <f>IF(ISNUMBER(I11/B11),I11/B11," - ")</f>
        <v>431.78571428571428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116</v>
      </c>
      <c r="C13" s="849">
        <f>SUBTOTAL(9,C8:C12)</f>
        <v>302529</v>
      </c>
      <c r="D13" s="850" t="str">
        <f>IF(ISNUMBER(C13/Datos!BI13),C13/Datos!BI13," - ")</f>
        <v xml:space="preserve"> - </v>
      </c>
      <c r="E13" s="849">
        <f>SUBTOTAL(9,E8:E12)</f>
        <v>103322</v>
      </c>
      <c r="F13" s="850">
        <f>IF(ISNUMBER(E13/B13),E13/B13," - ")</f>
        <v>890.70689655172418</v>
      </c>
      <c r="G13" s="849">
        <f>SUBTOTAL(9,G8:G12)</f>
        <v>89293</v>
      </c>
      <c r="H13" s="850">
        <f>IF(ISNUMBER(G13/B13),G13/B13," - ")</f>
        <v>769.76724137931035</v>
      </c>
      <c r="I13" s="849">
        <f>SUBTOTAL(9,I8:I12)</f>
        <v>317388</v>
      </c>
      <c r="J13" s="850">
        <f>IF(ISNUMBER(I13/B13),I13/B13," - ")</f>
        <v>2736.1034482758619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54</v>
      </c>
      <c r="C15" s="403">
        <f>IF(ISNUMBER(IF(D_I="SI",Datos!I15,Datos!I15+Datos!AC15)),IF(D_I="SI",Datos!I15,Datos!I15+Datos!AC15)," - ")</f>
        <v>38416</v>
      </c>
      <c r="D15" s="404">
        <f>IF(ISNUMBER(C15/Datos!BH15),C15/Datos!BH15," - ")</f>
        <v>711.40740740740739</v>
      </c>
      <c r="E15" s="403">
        <f>IF(ISNUMBER(IF(D_I="SI",Datos!J15,Datos!J15+Datos!AD15)),IF(D_I="SI",Datos!J15,Datos!J15+Datos!AD15)," - ")</f>
        <v>42177</v>
      </c>
      <c r="F15" s="404">
        <f>IF(ISNUMBER(E15/B15),E15/B15," - ")</f>
        <v>781.05555555555554</v>
      </c>
      <c r="G15" s="403">
        <f>IF(ISNUMBER(IF(D_I="SI",Datos!K15,Datos!K15+Datos!AE15)),IF(D_I="SI",Datos!K15,Datos!K15+Datos!AE15)," - ")</f>
        <v>44521</v>
      </c>
      <c r="H15" s="404">
        <f>IF(ISNUMBER(G15/B15),G15/B15," - ")</f>
        <v>824.46296296296293</v>
      </c>
      <c r="I15" s="403">
        <f>IF(ISNUMBER(IF(D_I="SI",Datos!L15,Datos!L15+Datos!AF15)),IF(D_I="SI",Datos!L15,Datos!L15+Datos!AF15)," - ")</f>
        <v>37701</v>
      </c>
      <c r="J15" s="404">
        <f>IF(ISNUMBER(I15/B15),I15/B15," - ")</f>
        <v>698.16666666666663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11</v>
      </c>
      <c r="C17" s="403">
        <f>IF(ISNUMBER(IF(D_I="SI",Datos!I17,Datos!I17+Datos!AC17)),IF(D_I="SI",Datos!I17,Datos!I17+Datos!AC17)," - ")</f>
        <v>3333</v>
      </c>
      <c r="D17" s="404">
        <f>IF(ISNUMBER(C17/Datos!BH17),C17/Datos!BH17," - ")</f>
        <v>303</v>
      </c>
      <c r="E17" s="403">
        <f>IF(ISNUMBER(IF(D_I="SI",Datos!J17,Datos!J17+Datos!AD17)),IF(D_I="SI",Datos!J17,Datos!J17+Datos!AD17)," - ")</f>
        <v>5754</v>
      </c>
      <c r="F17" s="404">
        <f>IF(ISNUMBER(E17/B17),E17/B17," - ")</f>
        <v>523.09090909090912</v>
      </c>
      <c r="G17" s="403">
        <f>IF(ISNUMBER(IF(D_I="SI",Datos!K17,Datos!K17+Datos!AE17)),IF(D_I="SI",Datos!K17,Datos!K17+Datos!AE17)," - ")</f>
        <v>5816</v>
      </c>
      <c r="H17" s="404">
        <f>IF(ISNUMBER(G17/B17),G17/B17," - ")</f>
        <v>528.72727272727275</v>
      </c>
      <c r="I17" s="403">
        <f>IF(ISNUMBER(IF(D_I="SI",Datos!L17,Datos!L17+Datos!AF17)),IF(D_I="SI",Datos!L17,Datos!L17+Datos!AF17)," - ")</f>
        <v>3325</v>
      </c>
      <c r="J17" s="404">
        <f>IF(ISNUMBER(I17/B17),I17/B17," - ")</f>
        <v>302.27272727272725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65</v>
      </c>
      <c r="C18" s="849">
        <f>SUBTOTAL(9,C14:C17)</f>
        <v>41749</v>
      </c>
      <c r="D18" s="850" t="str">
        <f>IF(ISNUMBER(C18/Datos!BI18),C18/Datos!BI18," - ")</f>
        <v xml:space="preserve"> - </v>
      </c>
      <c r="E18" s="849">
        <f>SUBTOTAL(9,E14:E17)</f>
        <v>47931</v>
      </c>
      <c r="F18" s="850">
        <f>IF(ISNUMBER(E18/B18),E18/B18," - ")</f>
        <v>737.4</v>
      </c>
      <c r="G18" s="849">
        <f>SUBTOTAL(9,G14:G17)</f>
        <v>50337</v>
      </c>
      <c r="H18" s="850">
        <f>IF(ISNUMBER(G18/B18),G18/B18," - ")</f>
        <v>774.4153846153846</v>
      </c>
      <c r="I18" s="849">
        <f>SUBTOTAL(9,I14:I17)</f>
        <v>41026</v>
      </c>
      <c r="J18" s="850">
        <f>IF(ISNUMBER(I18/B18),I18/B18," - ")</f>
        <v>631.16923076923081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170</v>
      </c>
      <c r="C19" s="794">
        <f>SUBTOTAL(9,C9:C18)</f>
        <v>344278</v>
      </c>
      <c r="D19" s="795" t="str">
        <f>IF(ISNUMBER(C19/Datos!BI19),C19/Datos!BI19," - ")</f>
        <v xml:space="preserve"> - </v>
      </c>
      <c r="E19" s="794">
        <f>SUBTOTAL(9,E9:E18)</f>
        <v>151253</v>
      </c>
      <c r="F19" s="795">
        <f>IF(ISNUMBER(E19/B19),E19/B19," - ")</f>
        <v>889.72352941176473</v>
      </c>
      <c r="G19" s="794">
        <f>SUBTOTAL(9,G9:G18)</f>
        <v>139630</v>
      </c>
      <c r="H19" s="795">
        <f>IF(ISNUMBER(G19/B19),G19/B19," - ")</f>
        <v>821.35294117647061</v>
      </c>
      <c r="I19" s="794">
        <f>SUBTOTAL(9,I9:I18)</f>
        <v>358414</v>
      </c>
      <c r="J19" s="795">
        <f>IF(ISNUMBER(I19/B19),I19/B19," - ")</f>
        <v>2108.3176470588237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hKq/JAJ3HNhAuVjYyE5bH/2ljI+idzD+D8SNPmLgpPTpF7CB3j+sHceay2jPx/NAynDYs0+/Cyt85L2NyzAWQ==" saltValue="Z+T5FBlBJ1Ya/6VWGVZd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MADRID</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91</v>
      </c>
      <c r="D9" s="403">
        <f>Datos!BK9</f>
        <v>0</v>
      </c>
      <c r="E9" s="403">
        <f>Datos!AQ9</f>
        <v>91</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11</v>
      </c>
      <c r="D10" s="403">
        <f>Datos!BK10</f>
        <v>0</v>
      </c>
      <c r="E10" s="403">
        <f>Datos!AQ10</f>
        <v>11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14</v>
      </c>
      <c r="D11" s="403">
        <f>Datos!BK11</f>
        <v>0</v>
      </c>
      <c r="E11" s="403">
        <f>Datos!AQ11</f>
        <v>14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54</v>
      </c>
      <c r="D15" s="403">
        <f>Datos!BK15</f>
        <v>0</v>
      </c>
      <c r="E15" s="403">
        <f>Datos!AQ15</f>
        <v>54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11</v>
      </c>
      <c r="D17" s="403">
        <f>Datos!BK17</f>
        <v>0</v>
      </c>
      <c r="E17" s="403">
        <f>Datos!AQ17</f>
        <v>11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7tDqyobpx1X/iwc6/Wo9N2oP+s5BehlQ4biypoj+fbwydnL9Bm7g1jkS2QN+NtFlhAK+ejLW3vQcB2Y5V/lEVg==" saltValue="nwouDSWUEyhiO36Ah5LW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MADRID</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91</v>
      </c>
      <c r="C9" s="410">
        <f>Datos!AQ9</f>
        <v>91</v>
      </c>
      <c r="D9" s="403">
        <f>IF(ISNUMBER(Datos!M9),Datos!M9," - ")</f>
        <v>18134</v>
      </c>
      <c r="E9" s="404">
        <f t="shared" ref="E9:E13" si="0">IF(ISNUMBER(D9/B9),D9/B9," - ")</f>
        <v>199.27472527472528</v>
      </c>
      <c r="F9" s="403">
        <f>IF(ISNUMBER(Datos!N9),Datos!N9," - ")</f>
        <v>45833</v>
      </c>
      <c r="G9" s="404">
        <f t="shared" ref="G9:G13" si="1">IF(ISNUMBER(F9/B9),F9/B9," - ")</f>
        <v>503.65934065934067</v>
      </c>
      <c r="H9" s="403">
        <f>IF(ISNUMBER(Datos!O9),Datos!O9," - ")</f>
        <v>23261</v>
      </c>
      <c r="I9" s="404">
        <f>IF(ISNUMBER(H9/B9),H9/B9," - ")</f>
        <v>255.61538461538461</v>
      </c>
      <c r="BZ9" s="1186">
        <f>Datos!EZ9</f>
        <v>0</v>
      </c>
    </row>
    <row r="10" spans="1:78">
      <c r="A10" s="402" t="str">
        <f>Datos!A10</f>
        <v>Jdos. Violencia contra la mujer</v>
      </c>
      <c r="B10" s="427">
        <f>Datos!AO10</f>
        <v>11</v>
      </c>
      <c r="C10" s="410">
        <f>Datos!AQ10</f>
        <v>11</v>
      </c>
      <c r="D10" s="403">
        <f>IF(ISNUMBER(Datos!M10),Datos!M10," - ")</f>
        <v>183</v>
      </c>
      <c r="E10" s="404">
        <f>IF(ISNUMBER(D10/B10),D10/B10," - ")</f>
        <v>16.636363636363637</v>
      </c>
      <c r="F10" s="403">
        <f>IF(ISNUMBER(Datos!N10),Datos!N10," - ")</f>
        <v>222</v>
      </c>
      <c r="G10" s="404">
        <f>IF(ISNUMBER(F10/B10),F10/B10," - ")</f>
        <v>20.181818181818183</v>
      </c>
      <c r="H10" s="403">
        <f>IF(ISNUMBER(Datos!O10),Datos!O10," - ")</f>
        <v>129</v>
      </c>
      <c r="I10" s="404">
        <f t="shared" ref="I10:I12" si="2">IF(ISNUMBER(H10/B10),H10/B10," - ")</f>
        <v>11.727272727272727</v>
      </c>
      <c r="BZ10" s="1186">
        <f>Datos!EZ10</f>
        <v>0</v>
      </c>
    </row>
    <row r="11" spans="1:78">
      <c r="A11" s="402" t="str">
        <f>Datos!A11</f>
        <v xml:space="preserve">Jdos. Familia                                   </v>
      </c>
      <c r="B11" s="427">
        <f>Datos!AO11</f>
        <v>14</v>
      </c>
      <c r="C11" s="410">
        <f>Datos!AQ11</f>
        <v>14</v>
      </c>
      <c r="D11" s="403">
        <f>IF(ISNUMBER(Datos!M11),Datos!M11," - ")</f>
        <v>1780</v>
      </c>
      <c r="E11" s="404">
        <f t="shared" si="0"/>
        <v>127.14285714285714</v>
      </c>
      <c r="F11" s="403">
        <f>IF(ISNUMBER(Datos!N11),Datos!N11," - ")</f>
        <v>1329</v>
      </c>
      <c r="G11" s="404">
        <f t="shared" si="1"/>
        <v>94.928571428571431</v>
      </c>
      <c r="H11" s="403">
        <f>IF(ISNUMBER(Datos!O11),Datos!O11," - ")</f>
        <v>1179</v>
      </c>
      <c r="I11" s="404">
        <f t="shared" si="2"/>
        <v>84.214285714285708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116</v>
      </c>
      <c r="C13" s="851">
        <f>Datos!AR13</f>
        <v>116</v>
      </c>
      <c r="D13" s="849">
        <f>SUBTOTAL(9,D9:D12)</f>
        <v>20097</v>
      </c>
      <c r="E13" s="850">
        <f t="shared" si="0"/>
        <v>173.25</v>
      </c>
      <c r="F13" s="849">
        <f>SUBTOTAL(9,F9:F12)</f>
        <v>47384</v>
      </c>
      <c r="G13" s="850">
        <f t="shared" si="1"/>
        <v>408.48275862068965</v>
      </c>
      <c r="H13" s="849">
        <f>SUBTOTAL(9,H9:H12)</f>
        <v>24569</v>
      </c>
      <c r="I13" s="850">
        <f>IF(ISNUMBER(H13/B13),H13/B13," - ")</f>
        <v>211.80172413793105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54</v>
      </c>
      <c r="C15" s="428">
        <f>Datos!AQ15</f>
        <v>54</v>
      </c>
      <c r="D15" s="403">
        <f>IF(ISNUMBER(Datos!M15),Datos!M15," - ")</f>
        <v>6366</v>
      </c>
      <c r="E15" s="404">
        <f t="shared" ref="E15:E18" si="3">IF(ISNUMBER(D15/B15),D15/B15," - ")</f>
        <v>117.88888888888889</v>
      </c>
      <c r="F15" s="403">
        <f>IF(ISNUMBER(Datos!N15),Datos!N15," - ")</f>
        <v>24011</v>
      </c>
      <c r="G15" s="404">
        <f t="shared" ref="G15:G18" si="4">IF(ISNUMBER(F15/B15),F15/B15," - ")</f>
        <v>444.64814814814815</v>
      </c>
      <c r="H15" s="403">
        <f>IF(ISNUMBER(Datos!O15),Datos!O15," - ")</f>
        <v>1693</v>
      </c>
      <c r="I15" s="404">
        <f t="shared" ref="I15:I17" si="5">IF(ISNUMBER(H15/B15),H15/B15," - ")</f>
        <v>31.351851851851851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11</v>
      </c>
      <c r="C17" s="428">
        <f>Datos!AQ17</f>
        <v>11</v>
      </c>
      <c r="D17" s="403">
        <f>IF(ISNUMBER(Datos!M17),Datos!M17," - ")</f>
        <v>88</v>
      </c>
      <c r="E17" s="404">
        <f>IF(ISNUMBER(D17/B17),D17/B17," - ")</f>
        <v>8</v>
      </c>
      <c r="F17" s="403">
        <f>IF(ISNUMBER(Datos!N17),Datos!N17," - ")</f>
        <v>4147</v>
      </c>
      <c r="G17" s="404">
        <f>IF(ISNUMBER(F17/B17),F17/B17," - ")</f>
        <v>377</v>
      </c>
      <c r="H17" s="403">
        <f>IF(ISNUMBER(Datos!O17),Datos!O17," - ")</f>
        <v>2</v>
      </c>
      <c r="I17" s="404">
        <f t="shared" si="5"/>
        <v>0.18181818181818182</v>
      </c>
      <c r="BZ17" s="1186">
        <f>Datos!EZ17</f>
        <v>0</v>
      </c>
    </row>
    <row r="18" spans="1:78" ht="14.25" thickTop="1" thickBot="1">
      <c r="A18" s="848" t="str">
        <f>Datos!A18</f>
        <v>TOTAL</v>
      </c>
      <c r="B18" s="849">
        <f>Datos!AP18</f>
        <v>65</v>
      </c>
      <c r="C18" s="851">
        <f>Datos!AR18</f>
        <v>65</v>
      </c>
      <c r="D18" s="849">
        <f>SUBTOTAL(9,D15:D17)</f>
        <v>6454</v>
      </c>
      <c r="E18" s="850">
        <f t="shared" si="3"/>
        <v>99.292307692307688</v>
      </c>
      <c r="F18" s="849">
        <f>SUBTOTAL(9,F15:F17)</f>
        <v>28158</v>
      </c>
      <c r="G18" s="850">
        <f t="shared" si="4"/>
        <v>433.2</v>
      </c>
      <c r="H18" s="849">
        <f>SUBTOTAL(9,H15:H17)</f>
        <v>1695</v>
      </c>
      <c r="I18" s="850">
        <f>IF(ISNUMBER(H18/B18),H18/B18," - ")</f>
        <v>26.076923076923077</v>
      </c>
      <c r="BZ18" s="1186"/>
    </row>
    <row r="19" spans="1:78" ht="14.25" thickTop="1" thickBot="1">
      <c r="A19" s="793" t="str">
        <f>Datos!A19</f>
        <v>TOTAL JURISDICCIONES</v>
      </c>
      <c r="B19" s="794">
        <f>Datos!AP19</f>
        <v>170</v>
      </c>
      <c r="C19" s="794">
        <f>Datos!AR19</f>
        <v>170</v>
      </c>
      <c r="D19" s="794">
        <f>SUBTOTAL(9,D8:D18)</f>
        <v>26551</v>
      </c>
      <c r="E19" s="795">
        <f>IF(ISNUMBER(D19/B19),D19/B19," - ")</f>
        <v>156.18235294117648</v>
      </c>
      <c r="F19" s="794">
        <f>SUBTOTAL(9,F8:F18)</f>
        <v>75542</v>
      </c>
      <c r="G19" s="795">
        <f>IF(ISNUMBER(F19/B19),F19/B19," - ")</f>
        <v>444.36470588235295</v>
      </c>
      <c r="H19" s="794">
        <f>SUBTOTAL(9,H8:H18)</f>
        <v>26264</v>
      </c>
      <c r="I19" s="795">
        <f>IF(ISNUMBER(H19/B19),H19/B19," - ")</f>
        <v>154.49411764705883</v>
      </c>
    </row>
    <row r="22" spans="1:78">
      <c r="A22" s="391" t="str">
        <f>Criterios!A4</f>
        <v>Fecha Informe: 03 jun. 2025</v>
      </c>
    </row>
    <row r="27" spans="1:78">
      <c r="A27" s="414"/>
    </row>
  </sheetData>
  <sheetProtection algorithmName="SHA-512" hashValue="OXZUlKoYL30iP2HW1z5xO4qxOJZ6XxDSKDTe53UxwFIncnZTrwnhr9sleSwraII8LSmJ6jn8f2oKpiz5K3orpw==" saltValue="IaBZmFQmywFyDdh37yWZ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MADRID</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10399</v>
      </c>
      <c r="C9" s="434">
        <f>IF(ISNUMBER(Datos!Q9),Datos!Q9," - ")</f>
        <v>8325</v>
      </c>
      <c r="D9" s="408">
        <f>IF(ISNUMBER(Datos!R9),Datos!R9," - ")</f>
        <v>155173</v>
      </c>
    </row>
    <row r="10" spans="1:4">
      <c r="A10" s="402" t="str">
        <f>Datos!A10</f>
        <v>Jdos. Violencia contra la mujer</v>
      </c>
      <c r="B10" s="433">
        <f>IF(ISNUMBER(Datos!P10),Datos!P10," - ")</f>
        <v>116</v>
      </c>
      <c r="C10" s="434">
        <f>IF(ISNUMBER(Datos!Q10),Datos!Q10," - ")</f>
        <v>98</v>
      </c>
      <c r="D10" s="408">
        <f>IF(ISNUMBER(Datos!R10),Datos!R10," - ")</f>
        <v>1094</v>
      </c>
    </row>
    <row r="11" spans="1:4">
      <c r="A11" s="402" t="str">
        <f>Datos!A11</f>
        <v xml:space="preserve">Jdos. Familia                                   </v>
      </c>
      <c r="B11" s="433">
        <f>IF(ISNUMBER(Datos!P11),Datos!P11," - ")</f>
        <v>527</v>
      </c>
      <c r="C11" s="434">
        <f>IF(ISNUMBER(Datos!Q11),Datos!Q11," - ")</f>
        <v>569</v>
      </c>
      <c r="D11" s="408">
        <f>IF(ISNUMBER(Datos!R11),Datos!R11," - ")</f>
        <v>4831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11042</v>
      </c>
      <c r="C13" s="853">
        <f>SUBTOTAL(9,C9:C12)</f>
        <v>8992</v>
      </c>
      <c r="D13" s="851">
        <f>SUBTOTAL(9,D9:D12)</f>
        <v>161098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2728</v>
      </c>
      <c r="C15" s="434">
        <f>IF(ISNUMBER(Datos!Q15),Datos!Q15," - ")</f>
        <v>2869</v>
      </c>
      <c r="D15" s="408">
        <f>IF(ISNUMBER(Datos!R15),Datos!R15," - ")</f>
        <v>4047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21</v>
      </c>
      <c r="C17" s="434">
        <f>IF(ISNUMBER(Datos!Q17),Datos!Q17," - ")</f>
        <v>25</v>
      </c>
      <c r="D17" s="408">
        <f>IF(ISNUMBER(Datos!R17),Datos!R17," - ")</f>
        <v>31</v>
      </c>
    </row>
    <row r="18" spans="1:4" ht="14.25" thickTop="1" thickBot="1">
      <c r="A18" s="848" t="str">
        <f>Datos!A18</f>
        <v>TOTAL</v>
      </c>
      <c r="B18" s="849">
        <f>SUBTOTAL(9,B15:B17)</f>
        <v>2749</v>
      </c>
      <c r="C18" s="853">
        <f>SUBTOTAL(9,C15:C17)</f>
        <v>2894</v>
      </c>
      <c r="D18" s="851">
        <f>SUBTOTAL(9,D15:D17)</f>
        <v>4078</v>
      </c>
    </row>
    <row r="19" spans="1:4" ht="16.5" customHeight="1" thickTop="1" thickBot="1">
      <c r="A19" s="793" t="str">
        <f>Datos!A19</f>
        <v>TOTAL JURISDICCIONES</v>
      </c>
      <c r="B19" s="798">
        <f>SUBTOTAL(9,B8:B18)</f>
        <v>13791</v>
      </c>
      <c r="C19" s="799">
        <f>SUBTOTAL(9,C8:C18)</f>
        <v>11886</v>
      </c>
      <c r="D19" s="800">
        <f>SUBTOTAL(9,D8:D18)</f>
        <v>165176</v>
      </c>
    </row>
    <row r="20" spans="1:4" ht="7.5" customHeight="1"/>
    <row r="21" spans="1:4" ht="6" customHeight="1"/>
    <row r="22" spans="1:4">
      <c r="A22" s="391" t="str">
        <f>Criterios!A4</f>
        <v>Fecha Informe: 03 jun. 2025</v>
      </c>
    </row>
    <row r="27" spans="1:4">
      <c r="A27" s="414"/>
    </row>
  </sheetData>
  <sheetProtection algorithmName="SHA-512" hashValue="ywl/cgddGGCfpwZqUJtrlerujojIGdVyEodqJCP3e/QxNN6xNr4vKHutA8UV+T/uzsVQmDhh5/FdfLwqc1ha5w==" saltValue="eIcpZh5hTdrt4/iW39F2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MADRID</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0.33328369053582629</v>
      </c>
      <c r="C9" s="456">
        <f>IF(ISNUMBER(
   IF(J_V="SI",(Datos!J9-Datos!T9)/Datos!T9,(Datos!J9+Datos!Z9-(Datos!T9+Datos!AH9))/(Datos!T9+Datos!AH9))
     ),IF(J_V="SI",(Datos!J9-Datos!T9)/Datos!T9,(Datos!J9+Datos!Z9-(Datos!T9+Datos!AH9))/(Datos!T9+Datos!AH9))," - ")</f>
        <v>0.2023605071801805</v>
      </c>
      <c r="D9" s="456">
        <f>IF(ISNUMBER(
   IF(J_V="SI",(Datos!K9-Datos!U9)/Datos!U9,(Datos!K9+Datos!AA9-(Datos!U9+Datos!AI9))/(Datos!U9+Datos!AI9))
     ),IF(J_V="SI",(Datos!K9-Datos!U9)/Datos!U9,(Datos!K9+Datos!AA9-(Datos!U9+Datos!AI9))/(Datos!U9+Datos!AI9))," - ")</f>
        <v>0.25520215793217926</v>
      </c>
      <c r="E9" s="456">
        <f>IF(ISNUMBER(
   IF(J_V="SI",(Datos!L9-Datos!V9)/Datos!V9,(Datos!L9+Datos!AB9-(Datos!V9+Datos!AJ9))/(Datos!V9+Datos!AJ9))
     ),IF(J_V="SI",(Datos!L9-Datos!V9)/Datos!V9,(Datos!L9+Datos!AB9-(Datos!V9+Datos!AJ9))/(Datos!V9+Datos!AJ9))," - ")</f>
        <v>0.31510419977875825</v>
      </c>
      <c r="F9" s="456">
        <f>IF(ISNUMBER((Datos!M9-Datos!W9)/Datos!W9),(Datos!M9-Datos!W9)/Datos!W9," - ")</f>
        <v>0.11265185912381888</v>
      </c>
      <c r="G9" s="457">
        <f>IF(ISNUMBER((Datos!N9-Datos!X9)/Datos!X9),(Datos!N9-Datos!X9)/Datos!X9," - ")</f>
        <v>0.41346450379325234</v>
      </c>
      <c r="H9" s="455">
        <f>IF(ISNUMBER(((NºAsuntos!G9/NºAsuntos!E9)-Datos!BD9)/Datos!BD9),((NºAsuntos!G9/NºAsuntos!E9)-Datos!BD9)/Datos!BD9," - ")</f>
        <v>4.394825880960198E-2</v>
      </c>
      <c r="I9" s="456">
        <f>IF(ISNUMBER(((NºAsuntos!I9/NºAsuntos!G9)-Datos!BE9)/Datos!BE9),((NºAsuntos!I9/NºAsuntos!G9)-Datos!BE9)/Datos!BE9," - ")</f>
        <v>4.7723023313839506E-2</v>
      </c>
      <c r="J9" s="461">
        <f>IF(ISNUMBER((('Resol  Asuntos'!D9/NºAsuntos!G9)-Datos!BF9)/Datos!BF9),(('Resol  Asuntos'!D9/NºAsuntos!G9)-Datos!BF9)/Datos!BF9," - ")</f>
        <v>-0.55446014844842684</v>
      </c>
      <c r="K9" s="462">
        <f>IF(ISNUMBER((((NºAsuntos!C9+NºAsuntos!E9)/NºAsuntos!G9)-Datos!BG9)/Datos!BG9),(((NºAsuntos!C9+NºAsuntos!E9)/NºAsuntos!G9)-Datos!BG9)/Datos!BG9," - ")</f>
        <v>3.4007619028957776E-2</v>
      </c>
    </row>
    <row r="10" spans="1:11">
      <c r="A10" s="402" t="str">
        <f>Datos!A10</f>
        <v>Jdos. Violencia contra la mujer</v>
      </c>
      <c r="B10" s="455">
        <f>IF(ISNUMBER((Datos!I10-Datos!S10)/Datos!S10),(Datos!I10-Datos!S10)/Datos!S10," - ")</f>
        <v>0.30181818181818182</v>
      </c>
      <c r="C10" s="456">
        <f>IF(ISNUMBER((Datos!J10-Datos!T10)/Datos!T10),(Datos!J10-Datos!T10)/Datos!T10," - ")</f>
        <v>-9.1954022988505746E-2</v>
      </c>
      <c r="D10" s="456">
        <f>IF(ISNUMBER((Datos!K10-Datos!U10)/Datos!U10),(Datos!K10-Datos!U10)/Datos!U10," - ")</f>
        <v>1.8672199170124481E-2</v>
      </c>
      <c r="E10" s="456">
        <f>IF(ISNUMBER((Datos!L10-Datos!V10)/Datos!V10),(Datos!L10-Datos!V10)/Datos!V10," - ")</f>
        <v>0.22222222222222221</v>
      </c>
      <c r="F10" s="456">
        <f>IF(ISNUMBER((Datos!M10-Datos!W10)/Datos!W10),(Datos!M10-Datos!W10)/Datos!W10," - ")</f>
        <v>3.9772727272727272E-2</v>
      </c>
      <c r="G10" s="457">
        <f>IF(ISNUMBER((Datos!N10-Datos!X10)/Datos!X10),(Datos!N10-Datos!X10)/Datos!X10," - ")</f>
        <v>0.17460317460317459</v>
      </c>
      <c r="H10" s="455">
        <f>IF(ISNUMBER(((NºAsuntos!G10/NºAsuntos!E10)-Datos!BD10)/Datos!BD10),((NºAsuntos!G10/NºAsuntos!E10)-Datos!BD10)/Datos!BD10," - ")</f>
        <v>0.12182887756709898</v>
      </c>
      <c r="I10" s="456">
        <f>IF(ISNUMBER(((NºAsuntos!I10/NºAsuntos!G10)-Datos!BE10)/Datos!BE10),((NºAsuntos!I10/NºAsuntos!G10)-Datos!BE10)/Datos!BE10," - ")</f>
        <v>0.19981896356641768</v>
      </c>
      <c r="J10" s="461">
        <f>IF(ISNUMBER((('Resol  Asuntos'!D10/NºAsuntos!G10)-Datos!BF10)/Datos!BF10),(('Resol  Asuntos'!D10/NºAsuntos!G10)-Datos!BF10)/Datos!BF10," - ")</f>
        <v>2.0713756711720047E-2</v>
      </c>
      <c r="K10" s="462">
        <f>IF(ISNUMBER((((NºAsuntos!C10+NºAsuntos!E10)/NºAsuntos!G10)-Datos!BG10)/Datos!BG10),(((NºAsuntos!C10+NºAsuntos!E10)/NºAsuntos!G10)-Datos!BG10)/Datos!BG10," - ")</f>
        <v>0.12815534861357442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0.10313244183916469</v>
      </c>
      <c r="C11" s="456">
        <f>IF(ISNUMBER(
   IF(J_V="SI",(Datos!J11-Datos!T11)/Datos!T11,(Datos!J11+Datos!Z11-(Datos!T11+Datos!AH11))/(Datos!T11+Datos!AH11))
     ),IF(J_V="SI",(Datos!J11-Datos!T11)/Datos!T11,(Datos!J11+Datos!Z11-(Datos!T11+Datos!AH11))/(Datos!T11+Datos!AH11))," - ")</f>
        <v>-1.2189292543021032E-2</v>
      </c>
      <c r="D11" s="456">
        <f>IF(ISNUMBER(
   IF(J_V="SI",(Datos!K11-Datos!U11)/Datos!U11,(Datos!K11+Datos!AA11-(Datos!U11+Datos!AI11))/(Datos!U11+Datos!AI11))
     ),IF(J_V="SI",(Datos!K11-Datos!U11)/Datos!U11,(Datos!K11+Datos!AA11-(Datos!U11+Datos!AI11))/(Datos!U11+Datos!AI11))," - ")</f>
        <v>5.0063856960408687E-2</v>
      </c>
      <c r="E11" s="456">
        <f>IF(ISNUMBER(
   IF(J_V="SI",(Datos!L11-Datos!V11)/Datos!V11,(Datos!L11+Datos!AB11-(Datos!V11+Datos!AJ11))/(Datos!V11+Datos!AJ11))
     ),IF(J_V="SI",(Datos!L11-Datos!V11)/Datos!V11,(Datos!L11+Datos!AB11-(Datos!V11+Datos!AJ11))/(Datos!V11+Datos!AJ11))," - ")</f>
        <v>6.0340291176986492E-2</v>
      </c>
      <c r="F11" s="456">
        <f>IF(ISNUMBER((Datos!M11-Datos!W11)/Datos!W11),(Datos!M11-Datos!W11)/Datos!W11," - ")</f>
        <v>5.3254437869822487E-2</v>
      </c>
      <c r="G11" s="457">
        <f>IF(ISNUMBER((Datos!N11-Datos!X11)/Datos!X11),(Datos!N11-Datos!X11)/Datos!X11," - ")</f>
        <v>3.7470725995316159E-2</v>
      </c>
      <c r="H11" s="455">
        <f>IF(ISNUMBER(((NºAsuntos!G11/NºAsuntos!E11)-Datos!BD11)/Datos!BD11),((NºAsuntos!G11/NºAsuntos!E11)-Datos!BD11)/Datos!BD11," - ")</f>
        <v>6.3021334992100095E-2</v>
      </c>
      <c r="I11" s="456">
        <f>IF(ISNUMBER(((NºAsuntos!I11/NºAsuntos!G11)-Datos!BE11)/Datos!BE11),((NºAsuntos!I11/NºAsuntos!G11)-Datos!BE11)/Datos!BE11," - ")</f>
        <v>9.7864850298959739E-3</v>
      </c>
      <c r="J11" s="461">
        <f>IF(ISNUMBER((('Resol  Asuntos'!D11/NºAsuntos!G11)-Datos!BF11)/Datos!BF11),(('Resol  Asuntos'!D11/NºAsuntos!G11)-Datos!BF11)/Datos!BF11," - ")</f>
        <v>0.32329040097482209</v>
      </c>
      <c r="K11" s="462">
        <f>IF(ISNUMBER((((NºAsuntos!C11+NºAsuntos!E11)/NºAsuntos!G11)-Datos!BG11)/Datos!BG11),(((NºAsuntos!C11+NºAsuntos!E11)/NºAsuntos!G11)-Datos!BG11)/Datos!BG11," - ")</f>
        <v>2.8871127366669291E-3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0.32765604497360301</v>
      </c>
      <c r="C13" s="855">
        <f>IF(ISNUMBER(
   IF(J_V="SI",(Datos!J13-Datos!T13)/Datos!T13,(Datos!J13+Datos!Z13-(Datos!T13+Datos!AH13))/(Datos!T13+Datos!AH13))
     ),IF(J_V="SI",(Datos!J13-Datos!T13)/Datos!T13,(Datos!J13+Datos!Z13-(Datos!T13+Datos!AH13))/(Datos!T13+Datos!AH13))," - ")</f>
        <v>0.19024963424608615</v>
      </c>
      <c r="D13" s="855">
        <f>IF(ISNUMBER(
   IF(J_V="SI",(Datos!K13-Datos!U13)/Datos!U13,(Datos!K13+Datos!AA13-(Datos!U13+Datos!AI13))/(Datos!U13+Datos!AI13))
     ),IF(J_V="SI",(Datos!K13-Datos!U13)/Datos!U13,(Datos!K13+Datos!AA13-(Datos!U13+Datos!AI13))/(Datos!U13+Datos!AI13))," - ")</f>
        <v>0.24244110812728714</v>
      </c>
      <c r="E13" s="855">
        <f>IF(ISNUMBER(
   IF(J_V="SI",(Datos!L13-Datos!V13)/Datos!V13,(Datos!L13+Datos!AB13-(Datos!V13+Datos!AJ13))/(Datos!V13+Datos!AJ13))
     ),IF(J_V="SI",(Datos!L13-Datos!V13)/Datos!V13,(Datos!L13+Datos!AB13-(Datos!V13+Datos!AJ13))/(Datos!V13+Datos!AJ13))," - ")</f>
        <v>0.30878411255803978</v>
      </c>
      <c r="F13" s="856">
        <f>IF(ISNUMBER((Datos!M13-Datos!W13)/Datos!W13),(Datos!M13-Datos!W13)/Datos!W13," - ")</f>
        <v>0.10641929090508699</v>
      </c>
      <c r="G13" s="857">
        <f>IF(ISNUMBER((Datos!N13-Datos!X13)/Datos!X13),(Datos!N13-Datos!X13)/Datos!X13," - ")</f>
        <v>0.39792305876799622</v>
      </c>
      <c r="H13" s="857">
        <f>IF(ISNUMBER(((NºAsuntos!G13/NºAsuntos!E13)-Datos!BD13)/Datos!BD13),((NºAsuntos!G13/NºAsuntos!E13)-Datos!BD13)/Datos!BD13," - ")</f>
        <v>4.3849182876884107E-2</v>
      </c>
      <c r="I13" s="857">
        <f>IF(ISNUMBER(((NºAsuntos!I13/NºAsuntos!G13)-Datos!BE13)/Datos!BE13),((NºAsuntos!I13/NºAsuntos!G13)-Datos!BE13)/Datos!BE13," - ")</f>
        <v>5.3397303096925308E-2</v>
      </c>
      <c r="J13" s="857">
        <f>IF(ISNUMBER((('Resol  Asuntos'!D13/NºAsuntos!G13)-Datos!BF13)/Datos!BF13),(('Resol  Asuntos'!D13/NºAsuntos!G13)-Datos!BF13)/Datos!BF13," - ")</f>
        <v>-0.52260972854318477</v>
      </c>
      <c r="K13" s="857">
        <f>IF(ISNUMBER((((NºAsuntos!C13+NºAsuntos!E13)/NºAsuntos!G13)-Datos!BG13)/Datos!BG13),(((NºAsuntos!C13+NºAsuntos!E13)/NºAsuntos!G13)-Datos!BG13)/Datos!BG13," - ")</f>
        <v>3.8077904983772101E-2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1.5678290986965604E-2</v>
      </c>
      <c r="C15" s="456">
        <f>IF(ISNUMBER(
   IF(D_I="SI",(Datos!J15-Datos!T15)/Datos!T15,(Datos!J15+Datos!AD15-(Datos!T15+Datos!AL15))/(Datos!T15+Datos!AL15))
     ),IF(D_I="SI",(Datos!J15-Datos!T15)/Datos!T15,(Datos!J15+Datos!AD15-(Datos!T15+Datos!AL15))/(Datos!T15+Datos!AL15))," - ")</f>
        <v>-0.16338715436188361</v>
      </c>
      <c r="D15" s="456">
        <f>IF(ISNUMBER(
   IF(D_I="SI",(Datos!K15-Datos!U15)/Datos!U15,(Datos!K15+Datos!AE15-(Datos!U15+Datos!AM15))/(Datos!U15+Datos!AM15))
     ),IF(D_I="SI",(Datos!K15-Datos!U15)/Datos!U15,(Datos!K15+Datos!AE15-(Datos!U15+Datos!AM15))/(Datos!U15+Datos!AM15))," - ")</f>
        <v>-0.11998181494732264</v>
      </c>
      <c r="E15" s="456">
        <f>IF(ISNUMBER(
   IF(D_I="SI",(Datos!L15-Datos!V15)/Datos!V15,(Datos!L15+Datos!AF15-(Datos!V15+Datos!AN15))/(Datos!V15+Datos!AN15))
     ),IF(D_I="SI",(Datos!L15-Datos!V15)/Datos!V15,(Datos!L15+Datos!AF15-(Datos!V15+Datos!AN15))/(Datos!V15+Datos!AN15))," - ")</f>
        <v>-3.5730727914471329E-2</v>
      </c>
      <c r="F15" s="456">
        <f>IF(ISNUMBER((Datos!M15-Datos!W15)/Datos!W15),(Datos!M15-Datos!W15)/Datos!W15," - ")</f>
        <v>-0.10186230248306997</v>
      </c>
      <c r="G15" s="457">
        <f>IF(ISNUMBER((Datos!N15-Datos!X15)/Datos!X15),(Datos!N15-Datos!X15)/Datos!X15," - ")</f>
        <v>-0.17849322567401121</v>
      </c>
      <c r="H15" s="455">
        <f>IF(ISNUMBER(((NºAsuntos!G15/NºAsuntos!E15)-Datos!BD15)/Datos!BD15),((NºAsuntos!G15/NºAsuntos!E15)-Datos!BD15)/Datos!BD15," - ")</f>
        <v>5.1882229206574142E-2</v>
      </c>
      <c r="I15" s="456">
        <f>IF(ISNUMBER(((NºAsuntos!I15/NºAsuntos!G15)-Datos!BE15)/Datos!BE15),((NºAsuntos!I15/NºAsuntos!G15)-Datos!BE15)/Datos!BE15," - ")</f>
        <v>9.5737893220704431E-2</v>
      </c>
      <c r="J15" s="461">
        <f>IF(ISNUMBER((('Resol  Asuntos'!D15/NºAsuntos!G15)-Datos!BF15)/Datos!BF15),(('Resol  Asuntos'!D15/NºAsuntos!G15)-Datos!BF15)/Datos!BF15," - ")</f>
        <v>2.0589929585566553E-2</v>
      </c>
      <c r="K15" s="462">
        <f>IF(ISNUMBER((((NºAsuntos!C15+NºAsuntos!E15)/NºAsuntos!G15)-Datos!BG15)/Datos!BG15),(((NºAsuntos!C15+NºAsuntos!E15)/NºAsuntos!G15)-Datos!BG15)/Datos!BG15," - ")</f>
        <v>3.7898637058595641E-2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2.9021302871256562E-2</v>
      </c>
      <c r="C17" s="456">
        <f>IF(ISNUMBER(
   IF(D_I="SI",(Datos!J17-Datos!T17)/Datos!T17,(Datos!J17+Datos!AD17-(Datos!T17+Datos!AL17))/(Datos!T17+Datos!AL17))
     ),IF(D_I="SI",(Datos!J17-Datos!T17)/Datos!T17,(Datos!J17+Datos!AD17-(Datos!T17+Datos!AL17))/(Datos!T17+Datos!AL17))," - ")</f>
        <v>6.5752917206890166E-2</v>
      </c>
      <c r="D17" s="456">
        <f>IF(ISNUMBER(
   IF(D_I="SI",(Datos!K17-Datos!U17)/Datos!U17,(Datos!K17+Datos!AE17-(Datos!U17+Datos!AM17))/(Datos!U17+Datos!AM17))
     ),IF(D_I="SI",(Datos!K17-Datos!U17)/Datos!U17,(Datos!K17+Datos!AE17-(Datos!U17+Datos!AM17))/(Datos!U17+Datos!AM17))," - ")</f>
        <v>2.9745042492917848E-2</v>
      </c>
      <c r="E17" s="456">
        <f>IF(ISNUMBER(
   IF(D_I="SI",(Datos!L17-Datos!V17)/Datos!V17,(Datos!L17+Datos!AF17-(Datos!V17+Datos!AN17))/(Datos!V17+Datos!AN17))
     ),IF(D_I="SI",(Datos!L17-Datos!V17)/Datos!V17,(Datos!L17+Datos!AF17-(Datos!V17+Datos!AN17))/(Datos!V17+Datos!AN17))," - ")</f>
        <v>6.5363665491829537E-2</v>
      </c>
      <c r="F17" s="456">
        <f>IF(ISNUMBER((Datos!M17-Datos!W17)/Datos!W17),(Datos!M17-Datos!W17)/Datos!W17," - ")</f>
        <v>0.11392405063291139</v>
      </c>
      <c r="G17" s="457">
        <f>IF(ISNUMBER((Datos!N17-Datos!X17)/Datos!X17),(Datos!N17-Datos!X17)/Datos!X17," - ")</f>
        <v>0.12506782419967444</v>
      </c>
      <c r="H17" s="455">
        <f>IF(ISNUMBER(((NºAsuntos!G17/NºAsuntos!E17)-Datos!BD17)/Datos!BD17),((NºAsuntos!G17/NºAsuntos!E17)-Datos!BD17)/Datos!BD17," - ")</f>
        <v>-3.3786325266029954E-2</v>
      </c>
      <c r="I17" s="456">
        <f>IF(ISNUMBER(((NºAsuntos!I17/NºAsuntos!G17)-Datos!BE17)/Datos!BE17),((NºAsuntos!I17/NºAsuntos!G17)-Datos!BE17)/Datos!BE17," - ")</f>
        <v>3.4589749432230643E-2</v>
      </c>
      <c r="J17" s="461">
        <f>IF(ISNUMBER((('Resol  Asuntos'!D17/NºAsuntos!G17)-Datos!BF17)/Datos!BF17),(('Resol  Asuntos'!D17/NºAsuntos!G17)-Datos!BF17)/Datos!BF17," - ")</f>
        <v>8.1747427437187672E-2</v>
      </c>
      <c r="K17" s="462">
        <f>IF(ISNUMBER((((NºAsuntos!C17+NºAsuntos!E17)/NºAsuntos!G17)-Datos!BG17)/Datos!BG17),(((NºAsuntos!C17+NºAsuntos!E17)/NºAsuntos!G17)-Datos!BG17)/Datos!BG17," - ")</f>
        <v>2.1592318003715499E-2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1.6730797330865521E-2</v>
      </c>
      <c r="C18" s="855">
        <f>IF(ISNUMBER(
   IF(Criterios!B14="SI",(Datos!J18-Datos!T18)/Datos!T18,(Datos!J18+Datos!AD18-(Datos!T18+Datos!AL18))/(Datos!T18+Datos!AL18))
     ),IF(Criterios!B14="SI",(Datos!J18-Datos!T18)/Datos!T18,(Datos!J18+Datos!AD18-(Datos!T18+Datos!AL18))/(Datos!T18+Datos!AL18))," - ")</f>
        <v>-0.14122157920197803</v>
      </c>
      <c r="D18" s="855">
        <f>IF(ISNUMBER(
   IF(Criterios!B14="SI",(Datos!K18-Datos!U18)/Datos!U18,(Datos!K18+Datos!AE18-(Datos!U18+Datos!AM18))/(Datos!U18+Datos!AM18))
     ),IF(Criterios!B14="SI",(Datos!K18-Datos!U18)/Datos!U18,(Datos!K18+Datos!AE18-(Datos!U18+Datos!AM18))/(Datos!U18+Datos!AM18))," - ")</f>
        <v>-0.10494496701577197</v>
      </c>
      <c r="E18" s="855">
        <f>IF(ISNUMBER(
   IF(Criterios!B14="SI",(Datos!L18-Datos!V18)/Datos!V18,(Datos!L18+Datos!AF18-(Datos!V18+Datos!AN18))/(Datos!V18+Datos!AN18))
     ),IF(Criterios!B14="SI",(Datos!L18-Datos!V18)/Datos!V18,(Datos!L18+Datos!AF18-(Datos!V18+Datos!AN18))/(Datos!V18+Datos!AN18))," - ")</f>
        <v>-2.8257419645183447E-2</v>
      </c>
      <c r="F18" s="856">
        <f>IF(ISNUMBER((Datos!M18-Datos!W18)/Datos!W18),(Datos!M18-Datos!W18)/Datos!W18," - ")</f>
        <v>-9.948374494209572E-2</v>
      </c>
      <c r="G18" s="857">
        <f>IF(ISNUMBER((Datos!N18-Datos!X18)/Datos!X18),(Datos!N18-Datos!X18)/Datos!X18," - ")</f>
        <v>-0.14449778209880293</v>
      </c>
      <c r="H18" s="857">
        <f>IF(ISNUMBER(((NºAsuntos!G18/NºAsuntos!E18)-Datos!BD18)/Datos!BD18),((NºAsuntos!G18/NºAsuntos!E18)-Datos!BD18)/Datos!BD18," - ")</f>
        <v>4.2242109614836251E-2</v>
      </c>
      <c r="I18" s="857">
        <f>IF(ISNUMBER(((NºAsuntos!I18/NºAsuntos!G18)-Datos!BE18)/Datos!BE18),((NºAsuntos!I18/NºAsuntos!G18)-Datos!BE18)/Datos!BE18," - ")</f>
        <v>8.5679142113644649E-2</v>
      </c>
      <c r="J18" s="857">
        <f>IF(ISNUMBER((('Resol  Asuntos'!D18/NºAsuntos!G18)-Datos!BF18)/Datos!BF18),(('Resol  Asuntos'!D18/NºAsuntos!G18)-Datos!BF18)/Datos!BF18," - ")</f>
        <v>6.1015489242798584E-3</v>
      </c>
      <c r="K18" s="857">
        <f>IF(ISNUMBER((((NºAsuntos!C18+NºAsuntos!E18)/NºAsuntos!G18)-Datos!BG18)/Datos!BG18),(((NºAsuntos!C18+NºAsuntos!E18)/NºAsuntos!G18)-Datos!BG18)/Datos!BG18," - ")</f>
        <v>3.4270517614504024E-2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0.28018175801047862</v>
      </c>
      <c r="C19" s="802">
        <f>IF(ISNUMBER(
   IF(J_V="SI",(Datos!J19-Datos!T19)/Datos!T19,(Datos!J19+Datos!Z19-(Datos!T19+Datos!AH19))/(Datos!T19+Datos!AH19))
     ),IF(J_V="SI",(Datos!J19-Datos!T19)/Datos!T19,(Datos!J19+Datos!Z19-(Datos!T19+Datos!AH19))/(Datos!T19+Datos!AH19))," - ")</f>
        <v>6.0531482260552515E-2</v>
      </c>
      <c r="D19" s="802">
        <f>IF(ISNUMBER(
   IF(J_V="SI",(Datos!K19-Datos!U19)/Datos!U19,(Datos!K19+Datos!AA19-(Datos!U19+Datos!AI19))/(Datos!U19+Datos!AI19))
     ),IF(J_V="SI",(Datos!K19-Datos!U19)/Datos!U19,(Datos!K19+Datos!AA19-(Datos!U19+Datos!AI19))/(Datos!U19+Datos!AI19))," - ")</f>
        <v>8.9939738345770751E-2</v>
      </c>
      <c r="E19" s="802">
        <f>IF(ISNUMBER(
   IF(J_V="SI",(Datos!L19-Datos!V19)/Datos!V19,(Datos!L19+Datos!AB19-(Datos!V19+Datos!AJ19))/(Datos!V19+Datos!AJ19))
     ),IF(J_V="SI",(Datos!L19-Datos!V19)/Datos!V19,(Datos!L19+Datos!AB19-(Datos!V19+Datos!AJ19))/(Datos!V19+Datos!AJ19))," - ")</f>
        <v>0.25880762138905961</v>
      </c>
      <c r="F19" s="803">
        <f>IF(ISNUMBER((Datos!M19-Datos!W19)/Datos!W19),(Datos!M19-Datos!W19)/Datos!W19," - ")</f>
        <v>4.8162330740989301E-2</v>
      </c>
      <c r="G19" s="804">
        <f>IF(ISNUMBER((Datos!N19-Datos!X19)/Datos!X19),(Datos!N19-Datos!X19)/Datos!X19," - ")</f>
        <v>0.13069899715611435</v>
      </c>
      <c r="H19" s="805">
        <f>IF(ISNUMBER((Tasas!B19-Datos!BD19)/Datos!BD19),(Tasas!B19-Datos!BD19)/Datos!BD19," - ")</f>
        <v>2.7729734173033517E-2</v>
      </c>
      <c r="I19" s="806">
        <f>IF(ISNUMBER((Tasas!C19-Datos!BE19)/Datos!BE19),(Tasas!C19-Datos!BE19)/Datos!BE19," - ")</f>
        <v>0.15493322896877212</v>
      </c>
      <c r="J19" s="807">
        <f>IF(ISNUMBER((Tasas!D19-Datos!BF19)/Datos!BF19),(Tasas!D19-Datos!BF19)/Datos!BF19," - ")</f>
        <v>-0.40657582546111304</v>
      </c>
      <c r="K19" s="807">
        <f>IF(ISNUMBER((Tasas!E19-Datos!BG19)/Datos!BG19),(Tasas!E19-Datos!BG19)/Datos!BG19," - ")</f>
        <v>0.10470619916944338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DxP4XJNuzAD07QEZ3aynIaL7MzOfk9Nmje8icgmsIWCDbGPZpHsBE0s1/gkCLqjN9BzzOJGM9LVxb3sCHFd3g==" saltValue="qgaDgPxXvL12W7sSf7Y2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MADRID</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0.85793445778250521</v>
      </c>
      <c r="C9" s="443">
        <f>IF(ISNUMBER(NºAsuntos!I9/NºAsuntos!G9),NºAsuntos!I9/NºAsuntos!G9," - ")</f>
        <v>3.6637541179109943</v>
      </c>
      <c r="D9" s="444">
        <f>IF(ISNUMBER('Resol  Asuntos'!D9/NºAsuntos!G9),'Resol  Asuntos'!D9/NºAsuntos!G9," - ")</f>
        <v>0.21411956406229707</v>
      </c>
      <c r="E9" s="445">
        <f>IF(ISNUMBER((NºAsuntos!C9+NºAsuntos!E9)/NºAsuntos!G9),(NºAsuntos!C9+NºAsuntos!E9)/NºAsuntos!G9," - ")</f>
        <v>4.6539537849358252</v>
      </c>
      <c r="G9" s="463"/>
    </row>
    <row r="10" spans="1:7">
      <c r="A10" s="402" t="str">
        <f>Datos!A10</f>
        <v>Jdos. Violencia contra la mujer</v>
      </c>
      <c r="B10" s="442">
        <f>IF(ISNUMBER(NºAsuntos!G10/NºAsuntos!E10),NºAsuntos!G10/NºAsuntos!E10," - ")</f>
        <v>1.0358649789029535</v>
      </c>
      <c r="C10" s="443">
        <f>IF(ISNUMBER(NºAsuntos!I10/NºAsuntos!G10),NºAsuntos!I10/NºAsuntos!G10," - ")</f>
        <v>2.1507128309572301</v>
      </c>
      <c r="D10" s="444">
        <f>IF(ISNUMBER('Resol  Asuntos'!D10/NºAsuntos!G10),'Resol  Asuntos'!D10/NºAsuntos!G10," - ")</f>
        <v>0.37270875763747452</v>
      </c>
      <c r="E10" s="445">
        <f>IF(ISNUMBER((NºAsuntos!C10+NºAsuntos!E10)/NºAsuntos!G10),(NºAsuntos!C10+NºAsuntos!E10)/NºAsuntos!G10," - ")</f>
        <v>3.1527494908350304</v>
      </c>
      <c r="G10" s="463"/>
    </row>
    <row r="11" spans="1:7">
      <c r="A11" s="402" t="str">
        <f>Datos!A11</f>
        <v xml:space="preserve">Jdos. Familia                                   </v>
      </c>
      <c r="B11" s="442">
        <f>IF(ISNUMBER(NºAsuntos!G11/NºAsuntos!E11),NºAsuntos!G11/NºAsuntos!E11," - ")</f>
        <v>0.99467699007984511</v>
      </c>
      <c r="C11" s="443">
        <f>IF(ISNUMBER(NºAsuntos!I11/NºAsuntos!G11),NºAsuntos!I11/NºAsuntos!G11," - ")</f>
        <v>1.4704451471661397</v>
      </c>
      <c r="D11" s="444">
        <f>IF(ISNUMBER('Resol  Asuntos'!D11/NºAsuntos!G11),'Resol  Asuntos'!D11/NºAsuntos!G11," - ")</f>
        <v>0.43298467526149353</v>
      </c>
      <c r="E11" s="445">
        <f>IF(ISNUMBER((NºAsuntos!C11+NºAsuntos!E11)/NºAsuntos!G11),(NºAsuntos!C11+NºAsuntos!E11)/NºAsuntos!G11," - ")</f>
        <v>2.4702018973485771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0.86422059193588974</v>
      </c>
      <c r="C13" s="859">
        <f>IF(ISNUMBER(NºAsuntos!I13/NºAsuntos!G13),NºAsuntos!I13/NºAsuntos!G13," - ")</f>
        <v>3.5544555564265954</v>
      </c>
      <c r="D13" s="860">
        <f>IF(ISNUMBER('Resol  Asuntos'!D13/NºAsuntos!G13),'Resol  Asuntos'!D13/NºAsuntos!G13," - ")</f>
        <v>0.22506803444838902</v>
      </c>
      <c r="E13" s="861">
        <f>IF(ISNUMBER((NºAsuntos!C13+NºAsuntos!E13)/NºAsuntos!G13),(NºAsuntos!C13+NºAsuntos!E13)/NºAsuntos!G13," - ")</f>
        <v>4.5451603149183031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1.0555753135595229</v>
      </c>
      <c r="C15" s="443">
        <f>IF(ISNUMBER(NºAsuntos!I15/NºAsuntos!G15),NºAsuntos!I15/NºAsuntos!G15," - ")</f>
        <v>0.84681386312077445</v>
      </c>
      <c r="D15" s="444">
        <f>IF(ISNUMBER('Resol  Asuntos'!D15/NºAsuntos!G15),'Resol  Asuntos'!D15/NºAsuntos!G15," - ")</f>
        <v>0.14298870196087241</v>
      </c>
      <c r="E15" s="445">
        <f>IF(ISNUMBER((NºAsuntos!C15+NºAsuntos!E15)/NºAsuntos!G15),(NºAsuntos!C15+NºAsuntos!E15)/NºAsuntos!G15," - ")</f>
        <v>1.8102243884908245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1.0107751129648941</v>
      </c>
      <c r="C17" s="443">
        <f>IF(ISNUMBER(NºAsuntos!I17/NºAsuntos!G17),NºAsuntos!I17/NºAsuntos!G17," - ")</f>
        <v>0.57169876203576342</v>
      </c>
      <c r="D17" s="444">
        <f>IF(ISNUMBER('Resol  Asuntos'!D17/NºAsuntos!G17),'Resol  Asuntos'!D17/NºAsuntos!G17," - ")</f>
        <v>1.5130674002751032E-2</v>
      </c>
      <c r="E17" s="445">
        <f>IF(ISNUMBER((NºAsuntos!C17+NºAsuntos!E17)/NºAsuntos!G17),(NºAsuntos!C17+NºAsuntos!E17)/NºAsuntos!G17," - ")</f>
        <v>1.5624140302613481</v>
      </c>
      <c r="G17" s="463"/>
    </row>
    <row r="18" spans="1:7" ht="14.25" thickTop="1" thickBot="1">
      <c r="A18" s="848" t="str">
        <f>Datos!A18</f>
        <v>TOTAL</v>
      </c>
      <c r="B18" s="858">
        <f>IF(ISNUMBER(NºAsuntos!G18/NºAsuntos!E18),NºAsuntos!G18/NºAsuntos!E18," - ")</f>
        <v>1.0501971584152219</v>
      </c>
      <c r="C18" s="859">
        <f>IF(ISNUMBER(NºAsuntos!I18/NºAsuntos!G18),NºAsuntos!I18/NºAsuntos!G18," - ")</f>
        <v>0.81502671990782127</v>
      </c>
      <c r="D18" s="862">
        <f>IF(ISNUMBER('Resol  Asuntos'!D18/NºAsuntos!G18),'Resol  Asuntos'!D18/NºAsuntos!G18," - ")</f>
        <v>0.12821582533722709</v>
      </c>
      <c r="E18" s="861">
        <f>IF(ISNUMBER((NºAsuntos!C18+NºAsuntos!E18)/NºAsuntos!G18),(NºAsuntos!C18+NºAsuntos!E18)/NºAsuntos!G18," - ")</f>
        <v>1.7815920694518943</v>
      </c>
      <c r="G18" s="463"/>
    </row>
    <row r="19" spans="1:7" ht="15.75" customHeight="1" thickTop="1" thickBot="1">
      <c r="A19" s="793" t="str">
        <f>Datos!A19</f>
        <v>TOTAL JURISDICCIONES</v>
      </c>
      <c r="B19" s="808">
        <f>IF(ISNUMBER(NºAsuntos!G19/NºAsuntos!E19),NºAsuntos!G19/NºAsuntos!E19," - ")</f>
        <v>0.92315524320178777</v>
      </c>
      <c r="C19" s="809">
        <f>IF(ISNUMBER(NºAsuntos!I19/NºAsuntos!G19),NºAsuntos!I19/NºAsuntos!G19," - ")</f>
        <v>2.5668839074697414</v>
      </c>
      <c r="D19" s="810">
        <f>IF(ISNUMBER('Resol  Asuntos'!D19/NºAsuntos!G19),'Resol  Asuntos'!D19/NºAsuntos!G19," - ")</f>
        <v>0.19015254601446679</v>
      </c>
      <c r="E19" s="811">
        <f>IF(ISNUMBER((NºAsuntos!C19+NºAsuntos!E19)/NºAsuntos!G19),(NºAsuntos!C19+NºAsuntos!E19)/NºAsuntos!G19," - ")</f>
        <v>3.5488863424765453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3ZP8DRfrE70SRxS+a9X+oepb0kaFm+x7EfDcKA8/dBIprWC094Aj/lO2Aqbo3I4i7k/Hsz6phCIMSAHm2H/Ug==" saltValue="7Vj9Cf+vmLVTGVMsvim4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MADRID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91</v>
      </c>
      <c r="B9" s="177" t="s">
        <v>246</v>
      </c>
      <c r="C9" s="160" t="str">
        <f>Datos!A9</f>
        <v xml:space="preserve">Jdos. 1ª Instancia   </v>
      </c>
      <c r="D9" s="160"/>
      <c r="E9" s="1025">
        <f>IF(ISNUMBER(Datos!AQ9),Datos!AQ9," - ")</f>
        <v>91</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10399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8325</v>
      </c>
      <c r="Y9" s="334">
        <f>SUM(W9:X9)</f>
        <v>8325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155173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18134</v>
      </c>
      <c r="AJ9" s="229" t="str">
        <f>IF(ISNUMBER(Datos!BW9),Datos!BW9," - ")</f>
        <v xml:space="preserve"> - </v>
      </c>
      <c r="AK9" s="228" t="str">
        <f>IF(ISNUMBER(Datos!BX9),Datos!BX9," - ")</f>
        <v xml:space="preserve"> - </v>
      </c>
      <c r="AL9" s="243">
        <f>IF(ISNUMBER(NºAsuntos!G9/NºAsuntos!E9),NºAsuntos!G9/NºAsuntos!E9," - ")</f>
        <v>0.85793445778250521</v>
      </c>
      <c r="AM9" s="260">
        <f>IF(ISNUMBER(((NºAsuntos!I9/NºAsuntos!G9)*11)/factor_trimestre),((NºAsuntos!I9/NºAsuntos!G9)*11)/factor_trimestre," - ")</f>
        <v>10.991262353732983</v>
      </c>
      <c r="AN9" s="244">
        <f>IF(ISNUMBER('Resol  Asuntos'!D9/NºAsuntos!G9),'Resol  Asuntos'!D9/NºAsuntos!G9," - ")</f>
        <v>0.21411956406229707</v>
      </c>
      <c r="AO9" s="245">
        <f>IF(ISNUMBER((NºAsuntos!C9+NºAsuntos!E9)/NºAsuntos!G9),(NºAsuntos!C9+NºAsuntos!E9)/NºAsuntos!G9," - ")</f>
        <v>4.6539537849358252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11</v>
      </c>
      <c r="B10" s="275" t="s">
        <v>246</v>
      </c>
      <c r="C10" s="7" t="str">
        <f>Datos!A10</f>
        <v>Jdos. Violencia contra la mujer</v>
      </c>
      <c r="D10" s="7"/>
      <c r="E10" s="1025">
        <f>IF(ISNUMBER(Datos!AQ10),Datos!AQ10," - ")</f>
        <v>11</v>
      </c>
      <c r="F10" s="225">
        <f>IF(ISNUMBER(Datos!L10+Datos!K10-Datos!J10-K10),Datos!L10+Datos!K10-Datos!J10-K10," - ")</f>
        <v>1073</v>
      </c>
      <c r="G10" s="333">
        <f>IF(ISNUMBER(Datos!I10),Datos!I10," - ")</f>
        <v>1074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491</v>
      </c>
      <c r="X10" s="226">
        <f>IF(ISNUMBER(Datos!Q10),Datos!Q10," - ")</f>
        <v>98</v>
      </c>
      <c r="Y10" s="334">
        <f t="shared" ref="Y10:Y12" si="0">SUM(W10:X10)</f>
        <v>589</v>
      </c>
      <c r="Z10" s="335" t="str">
        <f>IF(ISNUMBER(Datos!CC10),Datos!CC10," - ")</f>
        <v xml:space="preserve"> - </v>
      </c>
      <c r="AA10" s="332">
        <f>IF(ISNUMBER(Datos!L10),Datos!L10,"-")</f>
        <v>1056</v>
      </c>
      <c r="AB10" s="334">
        <f>IF(ISNUMBER(Datos!R10),Datos!R10," - ")</f>
        <v>1094</v>
      </c>
      <c r="AC10" s="334">
        <f t="shared" ref="AC10:AC12" si="1">IF(ISNUMBER(AA10+AB10),AA10+AB10," - ")</f>
        <v>2150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183</v>
      </c>
      <c r="AJ10" s="231" t="str">
        <f>IF(ISNUMBER(Datos!BW10),Datos!BW10," - ")</f>
        <v xml:space="preserve"> - </v>
      </c>
      <c r="AK10" s="232" t="str">
        <f>IF(ISNUMBER(Datos!BX10),Datos!BX10," - ")</f>
        <v xml:space="preserve"> - </v>
      </c>
      <c r="AL10" s="243">
        <f>IF(ISNUMBER(NºAsuntos!G10/NºAsuntos!E10),NºAsuntos!G10/NºAsuntos!E10," - ")</f>
        <v>1.0358649789029535</v>
      </c>
      <c r="AM10" s="260">
        <f>IF(ISNUMBER(((NºAsuntos!I10/NºAsuntos!G10)*11)/factor_trimestre),((NºAsuntos!I10/NºAsuntos!G10)*11)/factor_trimestre," - ")</f>
        <v>6.4521384928716907</v>
      </c>
      <c r="AN10" s="244">
        <f>IF(ISNUMBER('Resol  Asuntos'!D10/NºAsuntos!G10),'Resol  Asuntos'!D10/NºAsuntos!G10," - ")</f>
        <v>0.37270875763747452</v>
      </c>
      <c r="AO10" s="245">
        <f>IF(ISNUMBER((NºAsuntos!C10+NºAsuntos!E10)/NºAsuntos!G10),(NºAsuntos!C10+NºAsuntos!E10)/NºAsuntos!G10," - ")</f>
        <v>3.1527494908350304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14</v>
      </c>
      <c r="B11" s="275" t="s">
        <v>246</v>
      </c>
      <c r="C11" s="7" t="str">
        <f>Datos!A11</f>
        <v xml:space="preserve">Jdos. Familia                                   </v>
      </c>
      <c r="D11" s="7"/>
      <c r="E11" s="1025">
        <f>IF(ISNUMBER(Datos!AQ11),Datos!AQ11," - ")</f>
        <v>14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527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569</v>
      </c>
      <c r="Y11" s="334">
        <f t="shared" si="0"/>
        <v>569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4831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1780</v>
      </c>
      <c r="AJ11" s="231" t="str">
        <f>IF(ISNUMBER(Datos!BW11),Datos!BW11," - ")</f>
        <v xml:space="preserve"> - </v>
      </c>
      <c r="AK11" s="232" t="str">
        <f>IF(ISNUMBER(Datos!BX11),Datos!BX11," - ")</f>
        <v xml:space="preserve"> - </v>
      </c>
      <c r="AL11" s="243">
        <f>IF(ISNUMBER(NºAsuntos!G11/NºAsuntos!E11),NºAsuntos!G11/NºAsuntos!E11," - ")</f>
        <v>0.99467699007984511</v>
      </c>
      <c r="AM11" s="260">
        <f>IF(ISNUMBER(((NºAsuntos!I11/NºAsuntos!G11)*11)/factor_trimestre),((NºAsuntos!I11/NºAsuntos!G11)*11)/factor_trimestre," - ")</f>
        <v>4.4113354414984185</v>
      </c>
      <c r="AN11" s="244">
        <f>IF(ISNUMBER('Resol  Asuntos'!D11/NºAsuntos!G11),'Resol  Asuntos'!D11/NºAsuntos!G11," - ")</f>
        <v>0.43298467526149353</v>
      </c>
      <c r="AO11" s="245">
        <f>IF(ISNUMBER((NºAsuntos!C11+NºAsuntos!E11)/NºAsuntos!G11),(NºAsuntos!C11+NºAsuntos!E11)/NºAsuntos!G11," - ")</f>
        <v>2.4702018973485771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116</v>
      </c>
      <c r="F13" s="865">
        <f t="shared" si="3"/>
        <v>1073</v>
      </c>
      <c r="G13" s="866">
        <f t="shared" si="3"/>
        <v>1074</v>
      </c>
      <c r="H13" s="865">
        <f t="shared" si="3"/>
        <v>0</v>
      </c>
      <c r="I13" s="867">
        <f t="shared" si="3"/>
        <v>0</v>
      </c>
      <c r="J13" s="867">
        <f t="shared" si="3"/>
        <v>0</v>
      </c>
      <c r="K13" s="867">
        <f t="shared" si="3"/>
        <v>0</v>
      </c>
      <c r="L13" s="867">
        <f t="shared" si="3"/>
        <v>11042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491</v>
      </c>
      <c r="X13" s="867">
        <f t="shared" si="4"/>
        <v>8992</v>
      </c>
      <c r="Y13" s="868">
        <f t="shared" si="4"/>
        <v>9483</v>
      </c>
      <c r="Z13" s="868">
        <f t="shared" si="4"/>
        <v>0</v>
      </c>
      <c r="AA13" s="868">
        <f t="shared" si="4"/>
        <v>1056</v>
      </c>
      <c r="AB13" s="868">
        <f t="shared" si="4"/>
        <v>161098</v>
      </c>
      <c r="AC13" s="868">
        <f t="shared" si="4"/>
        <v>2150</v>
      </c>
      <c r="AD13" s="868">
        <f t="shared" si="4"/>
        <v>0</v>
      </c>
      <c r="AE13" s="872">
        <f t="shared" si="4"/>
        <v>0</v>
      </c>
      <c r="AF13" s="865">
        <f t="shared" si="4"/>
        <v>0</v>
      </c>
      <c r="AG13" s="873">
        <f t="shared" si="4"/>
        <v>0</v>
      </c>
      <c r="AH13" s="870">
        <f t="shared" si="4"/>
        <v>0</v>
      </c>
      <c r="AI13" s="865">
        <f t="shared" si="4"/>
        <v>20097</v>
      </c>
      <c r="AJ13" s="867">
        <f t="shared" si="4"/>
        <v>0</v>
      </c>
      <c r="AK13" s="870">
        <f>SUBTOTAL(9,AK9:AK12)</f>
        <v>0</v>
      </c>
      <c r="AL13" s="874">
        <f>IF(ISNUMBER(NºAsuntos!G13/NºAsuntos!E13),NºAsuntos!G13/NºAsuntos!E13," - ")</f>
        <v>0.86422059193588974</v>
      </c>
      <c r="AM13" s="874">
        <f>IF(ISNUMBER(((NºAsuntos!I13/NºAsuntos!G13)*11)/factor_trimestre),((NºAsuntos!I13/NºAsuntos!G13)*11)/factor_trimestre," - ")</f>
        <v>10.663366669279787</v>
      </c>
      <c r="AN13" s="875">
        <f>IF(ISNUMBER('Resol  Asuntos'!D13/NºAsuntos!G13),'Resol  Asuntos'!D13/NºAsuntos!G13," - ")</f>
        <v>0.22506803444838902</v>
      </c>
      <c r="AO13" s="876">
        <f>IF(ISNUMBER((NºAsuntos!C13+NºAsuntos!E13)/NºAsuntos!G13),(NºAsuntos!C13+NºAsuntos!E13)/NºAsuntos!G13," - ")</f>
        <v>4.5451603149183031</v>
      </c>
      <c r="AP13" s="877" t="str">
        <f t="shared" si="2"/>
        <v xml:space="preserve"> - </v>
      </c>
      <c r="AQ13" s="877">
        <f>IF(ISNUMBER((H13-W13+K13)/(F13)),(H13-W13+K13)/(F13)," - ")</f>
        <v>-0.4575955265610438</v>
      </c>
      <c r="AR13" s="878">
        <f>IF(ISNUMBER((Datos!P13-Datos!Q13)/(Datos!R13-Datos!P13+Datos!Q13)),(Datos!P13-Datos!Q13)/(Datos!R13-Datos!P13+Datos!Q13)," - ")</f>
        <v>1.2889190684573211E-2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54</v>
      </c>
      <c r="B15" s="275" t="s">
        <v>396</v>
      </c>
      <c r="C15" s="160" t="str">
        <f>Datos!A15</f>
        <v xml:space="preserve">Jdos. Instrucción                               </v>
      </c>
      <c r="D15" s="160"/>
      <c r="E15" s="1025">
        <f>IF(ISNUMBER(Datos!AQ15),Datos!AQ15," - ")</f>
        <v>54</v>
      </c>
      <c r="F15" s="225">
        <f>IF(ISNUMBER(AA15+W15-Datos!J15-K15),AA15+W15-Datos!J15-K15," - ")</f>
        <v>40045</v>
      </c>
      <c r="G15" s="333">
        <f>IF(ISNUMBER(IF(D_I="SI",Datos!I15,Datos!I15+Datos!AC15)),IF(D_I="SI",Datos!I15,Datos!I15+Datos!AC15)," - ")</f>
        <v>38416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2728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44521</v>
      </c>
      <c r="X15" s="226">
        <f>IF(ISNUMBER(Datos!Q15),Datos!Q15," - ")</f>
        <v>2869</v>
      </c>
      <c r="Y15" s="334">
        <f>SUM(W15)</f>
        <v>44521</v>
      </c>
      <c r="Z15" s="335" t="str">
        <f>IF(ISNUMBER(Datos!CC15),Datos!CC15," - ")</f>
        <v xml:space="preserve"> - </v>
      </c>
      <c r="AA15" s="332">
        <f>IF(ISNUMBER(IF(D_I="SI",Datos!L15,Datos!L15+Datos!AF15)),IF(D_I="SI",Datos!L15,Datos!L15+Datos!AF15)," - ")</f>
        <v>37701</v>
      </c>
      <c r="AB15" s="334">
        <f>IF(ISNUMBER(Datos!R15),Datos!R15," - ")</f>
        <v>4047</v>
      </c>
      <c r="AC15" s="334">
        <f t="shared" ref="AC15:AC17" si="6">IF(ISNUMBER(AA15+AB15),AA15+AB15," - ")</f>
        <v>41748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6366</v>
      </c>
      <c r="AJ15" s="231" t="str">
        <f>IF(ISNUMBER(Datos!BW15),Datos!BW15," - ")</f>
        <v xml:space="preserve"> - </v>
      </c>
      <c r="AK15" s="232" t="str">
        <f>IF(ISNUMBER(Datos!BX15),Datos!BX15," - ")</f>
        <v xml:space="preserve"> - </v>
      </c>
      <c r="AL15" s="243">
        <f>IF(ISNUMBER(NºAsuntos!G15/NºAsuntos!E15),NºAsuntos!G15/NºAsuntos!E15," - ")</f>
        <v>1.0555753135595229</v>
      </c>
      <c r="AM15" s="260">
        <f>IF(ISNUMBER(((NºAsuntos!I15/NºAsuntos!G15)*11)/factor_trimestre),((NºAsuntos!I15/NºAsuntos!G15)*11)/factor_trimestre," - ")</f>
        <v>2.5404415893623238</v>
      </c>
      <c r="AN15" s="244">
        <f>IF(ISNUMBER('Resol  Asuntos'!D15/NºAsuntos!G15),'Resol  Asuntos'!D15/NºAsuntos!G15," - ")</f>
        <v>0.14298870196087241</v>
      </c>
      <c r="AO15" s="245">
        <f>IF(ISNUMBER((NºAsuntos!C15+NºAsuntos!E15)/NºAsuntos!G15),(NºAsuntos!C15+NºAsuntos!E15)/NºAsuntos!G15," - ")</f>
        <v>1.8102243884908245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11</v>
      </c>
      <c r="B17" s="275" t="s">
        <v>396</v>
      </c>
      <c r="C17" s="7" t="str">
        <f>Datos!A17</f>
        <v>Jdos. Violencia contra la mujer</v>
      </c>
      <c r="D17" s="7"/>
      <c r="E17" s="1025">
        <f>IF(ISNUMBER(Datos!AQ17),Datos!AQ17," - ")</f>
        <v>11</v>
      </c>
      <c r="F17" s="225" t="str">
        <f>IF(ISNUMBER(AA17+W17-H17-K17),AA17+W17-H17-K17," - ")</f>
        <v xml:space="preserve"> - </v>
      </c>
      <c r="G17" s="333">
        <f>IF(ISNUMBER(IF(D_I="SI",Datos!I17,Datos!I17+Datos!AC17)),IF(D_I="SI",Datos!I17,Datos!I17+Datos!AC17)," - ")</f>
        <v>3333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5816</v>
      </c>
      <c r="X17" s="226">
        <f>IF(ISNUMBER(Datos!Q17),Datos!Q17," - ")</f>
        <v>25</v>
      </c>
      <c r="Y17" s="334">
        <f t="shared" si="7"/>
        <v>5841</v>
      </c>
      <c r="Z17" s="335" t="str">
        <f>IF(ISNUMBER(Datos!CC17),Datos!CC17," - ")</f>
        <v xml:space="preserve"> - </v>
      </c>
      <c r="AA17" s="332">
        <f>IF(ISNUMBER(Datos!L17),Datos!L17,"-")</f>
        <v>3325</v>
      </c>
      <c r="AB17" s="334">
        <f>IF(ISNUMBER(Datos!R17),Datos!R17," - ")</f>
        <v>31</v>
      </c>
      <c r="AC17" s="334">
        <f t="shared" si="6"/>
        <v>3356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88</v>
      </c>
      <c r="AJ17" s="231" t="str">
        <f>IF(ISNUMBER(Datos!BW17),Datos!BW17," - ")</f>
        <v xml:space="preserve"> - </v>
      </c>
      <c r="AK17" s="232" t="str">
        <f>IF(ISNUMBER(Datos!BX17),Datos!BX17," - ")</f>
        <v xml:space="preserve"> - </v>
      </c>
      <c r="AL17" s="243">
        <f>IF(ISNUMBER(NºAsuntos!G17/NºAsuntos!E17),NºAsuntos!G17/NºAsuntos!E17," - ")</f>
        <v>1.0107751129648941</v>
      </c>
      <c r="AM17" s="260">
        <f>IF(ISNUMBER(((NºAsuntos!I17/NºAsuntos!G17)*11)/factor_trimestre),((NºAsuntos!I17/NºAsuntos!G17)*11)/factor_trimestre," - ")</f>
        <v>1.7150962861072903</v>
      </c>
      <c r="AN17" s="244">
        <f>IF(ISNUMBER('Resol  Asuntos'!D17/NºAsuntos!G17),'Resol  Asuntos'!D17/NºAsuntos!G17," - ")</f>
        <v>1.5130674002751032E-2</v>
      </c>
      <c r="AO17" s="245">
        <f>IF(ISNUMBER((NºAsuntos!C17+NºAsuntos!E17)/NºAsuntos!G17),(NºAsuntos!C17+NºAsuntos!E17)/NºAsuntos!G17," - ")</f>
        <v>1.5624140302613481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65</v>
      </c>
      <c r="F18" s="865">
        <f>SUBTOTAL(9,F14:F17)</f>
        <v>40045</v>
      </c>
      <c r="G18" s="866">
        <f>SUBTOTAL(9,G15:G17)</f>
        <v>41749</v>
      </c>
      <c r="H18" s="865">
        <f t="shared" ref="H18:O18" si="10">SUBTOTAL(9,H14:H17)</f>
        <v>0</v>
      </c>
      <c r="I18" s="867">
        <f t="shared" si="10"/>
        <v>0</v>
      </c>
      <c r="J18" s="867">
        <f t="shared" si="10"/>
        <v>0</v>
      </c>
      <c r="K18" s="867">
        <f t="shared" si="10"/>
        <v>0</v>
      </c>
      <c r="L18" s="867">
        <f t="shared" si="10"/>
        <v>2749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50337</v>
      </c>
      <c r="X18" s="867">
        <f t="shared" si="11"/>
        <v>2894</v>
      </c>
      <c r="Y18" s="868">
        <f t="shared" si="11"/>
        <v>50362</v>
      </c>
      <c r="Z18" s="868">
        <f t="shared" si="11"/>
        <v>0</v>
      </c>
      <c r="AA18" s="868">
        <f t="shared" si="11"/>
        <v>41026</v>
      </c>
      <c r="AB18" s="868">
        <f t="shared" si="11"/>
        <v>4078</v>
      </c>
      <c r="AC18" s="868">
        <f t="shared" si="11"/>
        <v>45104</v>
      </c>
      <c r="AD18" s="868">
        <f t="shared" si="11"/>
        <v>0</v>
      </c>
      <c r="AE18" s="872">
        <f t="shared" si="11"/>
        <v>0</v>
      </c>
      <c r="AF18" s="865">
        <f t="shared" si="11"/>
        <v>0</v>
      </c>
      <c r="AG18" s="873">
        <f t="shared" si="11"/>
        <v>0</v>
      </c>
      <c r="AH18" s="870">
        <f t="shared" si="11"/>
        <v>0</v>
      </c>
      <c r="AI18" s="865">
        <f t="shared" si="11"/>
        <v>6454</v>
      </c>
      <c r="AJ18" s="867">
        <f t="shared" si="11"/>
        <v>0</v>
      </c>
      <c r="AK18" s="870">
        <f t="shared" si="11"/>
        <v>0</v>
      </c>
      <c r="AL18" s="874">
        <f>IF(ISNUMBER(NºAsuntos!G18/NºAsuntos!E18),NºAsuntos!G18/NºAsuntos!E18," - ")</f>
        <v>1.0501971584152219</v>
      </c>
      <c r="AM18" s="874">
        <f>IF(ISNUMBER(((NºAsuntos!I18/NºAsuntos!G18)*11)/factor_trimestre),((NºAsuntos!I18/NºAsuntos!G18)*11)/factor_trimestre," - ")</f>
        <v>2.4450801597234642</v>
      </c>
      <c r="AN18" s="875">
        <f>IF(ISNUMBER('Resol  Asuntos'!D18/NºAsuntos!G18),'Resol  Asuntos'!D18/NºAsuntos!G18," - ")</f>
        <v>0.12821582533722709</v>
      </c>
      <c r="AO18" s="876">
        <f>IF(ISNUMBER((NºAsuntos!C18+NºAsuntos!E18)/NºAsuntos!G18),(NºAsuntos!C18+NºAsuntos!E18)/NºAsuntos!G18," - ")</f>
        <v>1.7815920694518943</v>
      </c>
      <c r="AP18" s="877" t="str">
        <f t="shared" si="2"/>
        <v xml:space="preserve"> - </v>
      </c>
      <c r="AQ18" s="877">
        <f>IF(ISNUMBER((H18-W18+K18)/(F18)),(H18-W18+K18)/(F18)," - ")</f>
        <v>-1.2570108627793732</v>
      </c>
      <c r="AR18" s="878">
        <f>IF(ISNUMBER((Datos!P18-Datos!Q18)/(Datos!R18-Datos!P18+Datos!Q18)),(Datos!P18-Datos!Q18)/(Datos!R18-Datos!P18+Datos!Q18)," - ")</f>
        <v>-3.4335780251006393E-2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181</v>
      </c>
      <c r="F19" s="820">
        <f t="shared" si="13"/>
        <v>41118</v>
      </c>
      <c r="G19" s="821">
        <f t="shared" si="13"/>
        <v>42823</v>
      </c>
      <c r="H19" s="820">
        <f t="shared" si="13"/>
        <v>0</v>
      </c>
      <c r="I19" s="822">
        <f t="shared" si="13"/>
        <v>0</v>
      </c>
      <c r="J19" s="822">
        <f t="shared" si="13"/>
        <v>0</v>
      </c>
      <c r="K19" s="881">
        <f t="shared" si="13"/>
        <v>0</v>
      </c>
      <c r="L19" s="822">
        <f t="shared" si="13"/>
        <v>13791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50828</v>
      </c>
      <c r="X19" s="821">
        <f t="shared" si="14"/>
        <v>11886</v>
      </c>
      <c r="Y19" s="828">
        <f t="shared" si="14"/>
        <v>59845</v>
      </c>
      <c r="Z19" s="828">
        <f t="shared" si="14"/>
        <v>0</v>
      </c>
      <c r="AA19" s="828">
        <f t="shared" si="14"/>
        <v>42082</v>
      </c>
      <c r="AB19" s="828">
        <f t="shared" si="14"/>
        <v>165176</v>
      </c>
      <c r="AC19" s="828">
        <f t="shared" si="14"/>
        <v>47254</v>
      </c>
      <c r="AD19" s="828">
        <f t="shared" si="14"/>
        <v>0</v>
      </c>
      <c r="AE19" s="830">
        <f t="shared" si="14"/>
        <v>0</v>
      </c>
      <c r="AF19" s="831">
        <f t="shared" si="14"/>
        <v>0</v>
      </c>
      <c r="AG19" s="832">
        <f t="shared" si="14"/>
        <v>0</v>
      </c>
      <c r="AH19" s="830">
        <f t="shared" si="14"/>
        <v>0</v>
      </c>
      <c r="AI19" s="820">
        <f t="shared" si="14"/>
        <v>26551</v>
      </c>
      <c r="AJ19" s="820">
        <f t="shared" si="14"/>
        <v>0</v>
      </c>
      <c r="AK19" s="830">
        <f t="shared" si="14"/>
        <v>0</v>
      </c>
      <c r="AL19" s="884">
        <f>IF(ISNUMBER(NºAsuntos!G19/NºAsuntos!E19),NºAsuntos!G19/NºAsuntos!E19," - ")</f>
        <v>0.92315524320178777</v>
      </c>
      <c r="AM19" s="885">
        <f>IF(ISNUMBER(((NºAsuntos!I19/NºAsuntos!G19)*11)/factor_trimestre),((NºAsuntos!I19/NºAsuntos!G19)*11)/factor_trimestre," - ")</f>
        <v>7.7006517224092237</v>
      </c>
      <c r="AN19" s="885">
        <f>IF(ISNUMBER('Resol  Asuntos'!D19/NºAsuntos!G19),'Resol  Asuntos'!D19/NºAsuntos!G19," - ")</f>
        <v>0.19015254601446679</v>
      </c>
      <c r="AO19" s="886">
        <f>IF(ISNUMBER((NºAsuntos!C19+NºAsuntos!E19)/NºAsuntos!G19),(NºAsuntos!C19+NºAsuntos!E19)/NºAsuntos!G19," - ")</f>
        <v>3.5488863424765453</v>
      </c>
      <c r="AP19" s="887" t="str">
        <f t="shared" si="2"/>
        <v xml:space="preserve"> - </v>
      </c>
      <c r="AQ19" s="888">
        <f>IF(OR(ISNUMBER(FIND("01",Criterios!A8,1)),ISNUMBER(FIND("02",Criterios!A8,1)),ISNUMBER(FIND("03",Criterios!A8,1)),ISNUMBER(FIND("04",Criterios!A8,1))),(I19-W19+K19)/(F19-K19),(H19-W19+K19)/(F19-K19))</f>
        <v>-1.2361496181720901</v>
      </c>
      <c r="AR19" s="889">
        <f>IF(ISNUMBER((Datos!P19-Datos!Q19)/(Datos!R19-Datos!P19+Datos!Q19)),(Datos!P19-Datos!Q19)/(Datos!R19-Datos!P19+Datos!Q19)," - ")</f>
        <v>1.1667718088331669E-2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17129.2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42.946995755750415</v>
      </c>
      <c r="F21" s="252">
        <f>IF(ISNUMBER(STDEV(F8:F18)),STDEV(F8:F18),"-")</f>
        <v>22500.494690858093</v>
      </c>
      <c r="G21" s="253">
        <f>IF(ISNUMBER(STDEV(G8:G18)),STDEV(G8:G18),"-")</f>
        <v>21006.763403723096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24917.125440146581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8319.5482449469582</v>
      </c>
      <c r="AJ21" s="252">
        <f t="shared" si="18"/>
        <v>0</v>
      </c>
      <c r="AK21" s="254">
        <f t="shared" si="18"/>
        <v>0</v>
      </c>
      <c r="AL21" s="249">
        <f t="shared" si="18"/>
        <v>8.4867883132855967E-2</v>
      </c>
      <c r="AM21" s="250">
        <f t="shared" si="18"/>
        <v>3.8997713373773051</v>
      </c>
      <c r="AN21" s="250">
        <f t="shared" si="18"/>
        <v>0.14437116197095554</v>
      </c>
      <c r="AO21" s="251">
        <f t="shared" si="18"/>
        <v>1.3066579047088098</v>
      </c>
      <c r="AP21" s="291" t="str">
        <f t="shared" si="18"/>
        <v>-</v>
      </c>
      <c r="AQ21" s="292">
        <f t="shared" si="18"/>
        <v>0.5652720052245046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xfOeE13oReCefnjETUjRm1ktu3RaOwBmg199foma3rMzGM7tvXGQxPyX2r5p3PAQVFcHF/Pn/dOzaEYhubGzSA==" saltValue="2RoO1t63cUedA8HJ1doc4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MADRID</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0.11265185912381888</v>
      </c>
      <c r="I9" s="350">
        <f>IF(ISNUMBER((Tasas!C9-Datos!BE9)/Datos!BE9),(Tasas!C9-Datos!BE9)/Datos!BE9," - ")</f>
        <v>4.7723023313839506E-2</v>
      </c>
      <c r="J9" s="349">
        <f>IF(ISNUMBER((Tasas!D9-Datos!BF9)/Datos!BF9),(Tasas!D9-Datos!BF9)/Datos!BF9," - ")</f>
        <v>-0.55446014844842684</v>
      </c>
      <c r="K9" s="351">
        <f>IF(ISNUMBER((Tasas!E9-Datos!BG9)/Datos!BG9),(Tasas!E9-Datos!BG9)/Datos!BG9," - ")</f>
        <v>3.4007619028957776E-2</v>
      </c>
      <c r="M9" t="e">
        <f>IF(Monitorios="SI",Datos!CE9,0)</f>
        <v>#REF!</v>
      </c>
      <c r="N9" t="e">
        <f>IF(Monitorios="SI",Datos!CF9,0)</f>
        <v>#REF!</v>
      </c>
      <c r="O9" t="e">
        <f>IF(Monitorios="SI",Datos!CG9,0)</f>
        <v>#REF!</v>
      </c>
      <c r="P9" t="e">
        <f>IF(Monitorios="SI",Datos!CH9,0)</f>
        <v>#REF!</v>
      </c>
      <c r="Q9">
        <f>IF(J_V="SI",0,Datos!AG9)</f>
        <v>2351</v>
      </c>
      <c r="R9">
        <f>IF(J_V="SI",0,Datos!AH9)</f>
        <v>4819</v>
      </c>
      <c r="S9">
        <f>IF(J_V="SI",0,Datos!AI9)</f>
        <v>4661</v>
      </c>
      <c r="T9">
        <f>IF(J_V="SI",0,Datos!AJ9)</f>
        <v>2527</v>
      </c>
    </row>
    <row r="10" spans="2:20" ht="14.25">
      <c r="B10" s="275" t="s">
        <v>246</v>
      </c>
      <c r="C10" s="7" t="str">
        <f>Datos!A10</f>
        <v>Jdos. Violencia contra la mujer</v>
      </c>
      <c r="D10" s="352">
        <f>IF(ISNUMBER((Datos!I10-Datos!S10)/Datos!S10),(Datos!I10-Datos!S10)/Datos!S10," - ")</f>
        <v>0.30181818181818182</v>
      </c>
      <c r="E10" s="348">
        <f>IF(ISNUMBER((Datos!J10-Datos!T10)/Datos!T10),(Datos!J10-Datos!T10)/Datos!T10," - ")</f>
        <v>-9.1954022988505746E-2</v>
      </c>
      <c r="F10" s="348">
        <f>IF(ISNUMBER((Datos!K10-Datos!U10)/Datos!U10),(Datos!K10-Datos!U10)/Datos!U10," - ")</f>
        <v>1.8672199170124481E-2</v>
      </c>
      <c r="G10" s="349">
        <f>IF(ISNUMBER((Datos!L10-Datos!V10)/Datos!V10),(Datos!L10-Datos!V10)/Datos!V10," - ")</f>
        <v>0.22222222222222221</v>
      </c>
      <c r="H10" s="230">
        <f>IF(ISNUMBER((Datos!M10-Datos!W10)/Datos!W10),(Datos!M10-Datos!W10)/Datos!W10," - ")</f>
        <v>3.9772727272727272E-2</v>
      </c>
      <c r="I10" s="350">
        <f>IF(ISNUMBER((Tasas!C10-Datos!BE10)/Datos!BE10),(Tasas!C10-Datos!BE10)/Datos!BE10," - ")</f>
        <v>0.19981896356641768</v>
      </c>
      <c r="J10" s="349">
        <f>IF(ISNUMBER((Tasas!D10-Datos!BF10)/Datos!BF10),(Tasas!D10-Datos!BF10)/Datos!BF10," - ")</f>
        <v>2.0713756711720047E-2</v>
      </c>
      <c r="K10" s="351">
        <f>IF(ISNUMBER((Tasas!E10-Datos!BG10)/Datos!BG10),(Tasas!E10-Datos!BG10)/Datos!BG10," - ")</f>
        <v>0.12815534861357442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5.3254437869822487E-2</v>
      </c>
      <c r="I11" s="350">
        <f>IF(ISNUMBER((Tasas!C11-Datos!BE11)/Datos!BE11),(Tasas!C11-Datos!BE11)/Datos!BE11," - ")</f>
        <v>9.7864850298959739E-3</v>
      </c>
      <c r="J11" s="349">
        <f>IF(ISNUMBER((Tasas!D11-Datos!BF11)/Datos!BF11),(Tasas!D11-Datos!BF11)/Datos!BF11," - ")</f>
        <v>0.32329040097482209</v>
      </c>
      <c r="K11" s="351">
        <f>IF(ISNUMBER((Tasas!E11-Datos!BG11)/Datos!BG11),(Tasas!E11-Datos!BG11)/Datos!BG11," - ")</f>
        <v>2.8871127366669291E-3</v>
      </c>
      <c r="M11" t="e">
        <f>IF(Monitorios="SI",Datos!CE11,0)</f>
        <v>#REF!</v>
      </c>
      <c r="N11" t="e">
        <f>IF(Monitorios="SI",Datos!CF11,0)</f>
        <v>#REF!</v>
      </c>
      <c r="O11" t="e">
        <f>IF(Monitorios="SI",Datos!CG11,0)</f>
        <v>#REF!</v>
      </c>
      <c r="P11" t="e">
        <f>IF(Monitorios="SI",Datos!CH11,0)</f>
        <v>#REF!</v>
      </c>
      <c r="Q11">
        <f>IF(J_V="SI",0,Datos!AG11)</f>
        <v>307</v>
      </c>
      <c r="R11">
        <f>IF(J_V="SI",0,Datos!AH11)</f>
        <v>372</v>
      </c>
      <c r="S11">
        <f>IF(J_V="SI",0,Datos!AI11)</f>
        <v>344</v>
      </c>
      <c r="T11">
        <f>IF(J_V="SI",0,Datos!AJ11)</f>
        <v>347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0.10641929090508699</v>
      </c>
      <c r="I13" s="357">
        <f>IF(ISNUMBER((Tasas!C13-Datos!BE13)/Datos!BE13),(Tasas!C13-Datos!BE13)/Datos!BE13," - ")</f>
        <v>5.3397303096925308E-2</v>
      </c>
      <c r="J13" s="355">
        <f>IF(ISNUMBER((Tasas!D13-Datos!BF13)/Datos!BF13),(Tasas!D13-Datos!BF13)/Datos!BF13," - ")</f>
        <v>-0.52260972854318477</v>
      </c>
      <c r="K13" s="358">
        <f>IF(ISNUMBER((Tasas!E13-Datos!BG13)/Datos!BG13),(Tasas!E13-Datos!BG13)/Datos!BG13," - ")</f>
        <v>3.8077904983772101E-2</v>
      </c>
      <c r="M13" t="e">
        <f>IF(Monitorios="SI",Datos!CE13,0)</f>
        <v>#REF!</v>
      </c>
      <c r="N13" t="e">
        <f>IF(Monitorios="SI",Datos!CF13,0)</f>
        <v>#REF!</v>
      </c>
      <c r="O13" t="e">
        <f>IF(Monitorios="SI",Datos!CG13,0)</f>
        <v>#REF!</v>
      </c>
      <c r="P13" t="e">
        <f>IF(Monitorios="SI",Datos!CH13,0)</f>
        <v>#REF!</v>
      </c>
      <c r="Q13">
        <f>IF(J_V="SI",0,Datos!AG13)</f>
        <v>2658</v>
      </c>
      <c r="R13">
        <f>IF(J_V="SI",0,Datos!AH13)</f>
        <v>5191</v>
      </c>
      <c r="S13">
        <f>IF(J_V="SI",0,Datos!AI13)</f>
        <v>5005</v>
      </c>
      <c r="T13">
        <f>IF(J_V="SI",0,Datos!AJ13)</f>
        <v>2874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1.5678290986965604E-2</v>
      </c>
      <c r="E15" s="348">
        <f>IF(ISNUMBER(
   IF(D_I="SI",(Datos!J15-Datos!T15)/Datos!T15,(Datos!J15+Datos!AD15-(Datos!T15+Datos!AL15))/(Datos!T15+Datos!AL15))
     ),IF(D_I="SI",(Datos!J15-Datos!T15)/Datos!T15,(Datos!J15+Datos!AD15-(Datos!T15+Datos!AL15))/(Datos!T15+Datos!AL15))," - ")</f>
        <v>-0.16338715436188361</v>
      </c>
      <c r="F15" s="348">
        <f>IF(ISNUMBER(
   IF(D_I="SI",(Datos!K15-Datos!U15)/Datos!U15,(Datos!K15+Datos!AE15-(Datos!U15+Datos!AM15))/(Datos!U15+Datos!AM15))
     ),IF(D_I="SI",(Datos!K15-Datos!U15)/Datos!U15,(Datos!K15+Datos!AE15-(Datos!U15+Datos!AM15))/(Datos!U15+Datos!AM15))," - ")</f>
        <v>-0.11998181494732264</v>
      </c>
      <c r="G15" s="349">
        <f>IF(ISNUMBER(
   IF(D_I="SI",(Datos!L15-Datos!V15)/Datos!V15,(Datos!L15+Datos!AF15-(Datos!V15+Datos!AN15))/(Datos!V15+Datos!AN15))
     ),IF(D_I="SI",(Datos!L15-Datos!V15)/Datos!V15,(Datos!L15+Datos!AF15-(Datos!V15+Datos!AN15))/(Datos!V15+Datos!AN15))," - ")</f>
        <v>-3.5730727914471329E-2</v>
      </c>
      <c r="H15" s="230">
        <f>IF(ISNUMBER((Datos!M15-Datos!W15)/Datos!W15),(Datos!M15-Datos!W15)/Datos!W15," - ")</f>
        <v>-0.10186230248306997</v>
      </c>
      <c r="I15" s="350">
        <f>IF(ISNUMBER((Tasas!C15-Datos!BE15)/Datos!BE15),(Tasas!C15-Datos!BE15)/Datos!BE15," - ")</f>
        <v>9.5737893220704431E-2</v>
      </c>
      <c r="J15" s="349">
        <f>IF(ISNUMBER((Tasas!D15-Datos!BF15)/Datos!BF15),(Tasas!D15-Datos!BF15)/Datos!BF15," - ")</f>
        <v>2.0589929585566553E-2</v>
      </c>
      <c r="K15" s="351">
        <f>IF(ISNUMBER((Tasas!E15-Datos!BG15)/Datos!BG15),(Tasas!E15-Datos!BG15)/Datos!BG15," - ")</f>
        <v>3.7898637058595641E-2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2.9021302871256562E-2</v>
      </c>
      <c r="E17" s="348">
        <f>IF(ISNUMBER(
   IF(D_I="SI",(Datos!J17-Datos!T17)/Datos!T17,(Datos!J17+Datos!AD17-(Datos!T17+Datos!AL17))/(Datos!T17+Datos!AL17))
     ),IF(D_I="SI",(Datos!J17-Datos!T17)/Datos!T17,(Datos!J17+Datos!AD17-(Datos!T17+Datos!AL17))/(Datos!T17+Datos!AL17))," - ")</f>
        <v>6.5752917206890166E-2</v>
      </c>
      <c r="F17" s="348">
        <f>IF(ISNUMBER(
   IF(D_I="SI",(Datos!K17-Datos!U17)/Datos!U17,(Datos!K17+Datos!AE17-(Datos!U17+Datos!AM17))/(Datos!U17+Datos!AM17))
     ),IF(D_I="SI",(Datos!K17-Datos!U17)/Datos!U17,(Datos!K17+Datos!AE17-(Datos!U17+Datos!AM17))/(Datos!U17+Datos!AM17))," - ")</f>
        <v>2.9745042492917848E-2</v>
      </c>
      <c r="G17" s="349">
        <f>IF(ISNUMBER(
   IF(D_I="SI",(Datos!L17-Datos!V17)/Datos!V17,(Datos!L17+Datos!AF17-(Datos!V17+Datos!AN17))/(Datos!V17+Datos!AN17))
     ),IF(D_I="SI",(Datos!L17-Datos!V17)/Datos!V17,(Datos!L17+Datos!AF17-(Datos!V17+Datos!AN17))/(Datos!V17+Datos!AN17))," - ")</f>
        <v>6.5363665491829537E-2</v>
      </c>
      <c r="H17" s="230">
        <f>IF(ISNUMBER((Datos!M17-Datos!W17)/Datos!W17),(Datos!M17-Datos!W17)/Datos!W17," - ")</f>
        <v>0.11392405063291139</v>
      </c>
      <c r="I17" s="350">
        <f>IF(ISNUMBER((Tasas!C17-Datos!BE17)/Datos!BE17),(Tasas!C17-Datos!BE17)/Datos!BE17," - ")</f>
        <v>3.4589749432230643E-2</v>
      </c>
      <c r="J17" s="349">
        <f>IF(ISNUMBER((Tasas!D17-Datos!BF17)/Datos!BF17),(Tasas!D17-Datos!BF17)/Datos!BF17," - ")</f>
        <v>8.1747427437187672E-2</v>
      </c>
      <c r="K17" s="351">
        <f>IF(ISNUMBER((Tasas!E17-Datos!BG17)/Datos!BG17),(Tasas!E17-Datos!BG17)/Datos!BG17," - ")</f>
        <v>2.1592318003715499E-2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1.6730797330865521E-2</v>
      </c>
      <c r="E18" s="354">
        <f>IF(ISNUMBER(
   IF(D_I="SI",(Datos!J18-Datos!T18)/Datos!T18,(Datos!J18+Datos!AD18-(Datos!T18+Datos!AL18))/(Datos!T18+Datos!AL18))
     ),IF(D_I="SI",(Datos!J18-Datos!T18)/Datos!T18,(Datos!J18+Datos!AD18-(Datos!T18+Datos!AL18))/(Datos!T18+Datos!AL18))," - ")</f>
        <v>-0.14122157920197803</v>
      </c>
      <c r="F18" s="354">
        <f>IF(ISNUMBER(
   IF(D_I="SI",(Datos!K18-Datos!U18)/Datos!U18,(Datos!K18+Datos!AE18-(Datos!U18+Datos!AM18))/(Datos!U18+Datos!AM18))
     ),IF(D_I="SI",(Datos!K18-Datos!U18)/Datos!U18,(Datos!K18+Datos!AE18-(Datos!U18+Datos!AM18))/(Datos!U18+Datos!AM18))," - ")</f>
        <v>-0.10494496701577197</v>
      </c>
      <c r="G18" s="355">
        <f>IF(ISNUMBER(
   IF(D_I="SI",(Datos!L18-Datos!V18)/Datos!V18,(Datos!L18+Datos!AF18-(Datos!V18+Datos!AN18))/(Datos!V18+Datos!AN18))
     ),IF(D_I="SI",(Datos!L18-Datos!V18)/Datos!V18,(Datos!L18+Datos!AF18-(Datos!V18+Datos!AN18))/(Datos!V18+Datos!AN18))," - ")</f>
        <v>-2.8257419645183447E-2</v>
      </c>
      <c r="H18" s="356">
        <f>IF(ISNUMBER((Datos!M18-Datos!W18)/Datos!W18),(Datos!M18-Datos!W18)/Datos!W18," - ")</f>
        <v>-9.948374494209572E-2</v>
      </c>
      <c r="I18" s="357">
        <f>IF(ISNUMBER((Tasas!C18-Datos!BE18)/Datos!BE18),(Tasas!C18-Datos!BE18)/Datos!BE18," - ")</f>
        <v>8.5679142113644649E-2</v>
      </c>
      <c r="J18" s="355">
        <f>IF(ISNUMBER((Tasas!D18-Datos!BF18)/Datos!BF18),(Tasas!D18-Datos!BF18)/Datos!BF18," - ")</f>
        <v>6.1015489242798584E-3</v>
      </c>
      <c r="K18" s="358">
        <f>IF(ISNUMBER((Tasas!E18-Datos!BG18)/Datos!BG18),(Tasas!E18-Datos!BG18)/Datos!BG18," - ")</f>
        <v>3.4270517614504024E-2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0.28018175801047862</v>
      </c>
      <c r="E19" s="363">
        <f>IF(ISNUMBER(
   IF(J_V="SI",(Datos!J19-Datos!T19)/Datos!T19,(Datos!J19+Datos!Z19-(Datos!T19+Datos!AH19))/(Datos!T19+Datos!AH19))
     ),IF(J_V="SI",(Datos!J19-Datos!T19)/Datos!T19,(Datos!J19+Datos!Z19-(Datos!T19+Datos!AH19))/(Datos!T19+Datos!AH19))," - ")</f>
        <v>6.0531482260552515E-2</v>
      </c>
      <c r="F19" s="363">
        <f>IF(ISNUMBER(
   IF(J_V="SI",(Datos!K19-Datos!U19)/Datos!U19,(Datos!K19+Datos!AA19-(Datos!U19+Datos!AI19))/(Datos!U19+Datos!AI19))
     ),IF(J_V="SI",(Datos!K19-Datos!U19)/Datos!U19,(Datos!K19+Datos!AA19-(Datos!U19+Datos!AI19))/(Datos!U19+Datos!AI19))," - ")</f>
        <v>8.9939738345770751E-2</v>
      </c>
      <c r="G19" s="364">
        <f>IF(ISNUMBER(
   IF(J_V="SI",(Datos!L19-Datos!V19)/Datos!V19,(Datos!L19+Datos!AB19-(Datos!V19+Datos!AJ19))/(Datos!V19+Datos!AJ19))
     ),IF(J_V="SI",(Datos!L19-Datos!V19)/Datos!V19,(Datos!L19+Datos!AB19-(Datos!V19+Datos!AJ19))/(Datos!V19+Datos!AJ19))," - ")</f>
        <v>0.25880762138905961</v>
      </c>
      <c r="H19" s="365">
        <f>IF(ISNUMBER((Datos!M19-Datos!W19)/Datos!W19),(Datos!M19-Datos!W19)/Datos!W19," - ")</f>
        <v>4.8162330740989301E-2</v>
      </c>
      <c r="I19" s="362">
        <f>IF(ISNUMBER((Tasas!C19-Datos!BE19)/Datos!BE19),(Tasas!C19-Datos!BE19)/Datos!BE19," - ")</f>
        <v>0.15493322896877212</v>
      </c>
      <c r="J19" s="363">
        <f>IF(ISNUMBER((Tasas!D19-Datos!BF19)/Datos!BF19),(Tasas!D19-Datos!BF19)/Datos!BF19," - ")</f>
        <v>-0.40657582546111304</v>
      </c>
      <c r="K19" s="364">
        <f>IF(ISNUMBER((Tasas!E19-Datos!BG19)/Datos!BG19),(Tasas!E19-Datos!BG19)/Datos!BG19," - ")</f>
        <v>0.10470619916944338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0.14080103910130579</v>
      </c>
      <c r="E21" s="278">
        <f t="shared" si="1"/>
        <v>0.10337488033981986</v>
      </c>
      <c r="F21" s="278">
        <f t="shared" si="1"/>
        <v>7.927504050354349E-2</v>
      </c>
      <c r="G21" s="279">
        <f t="shared" si="1"/>
        <v>0.12004347010933744</v>
      </c>
      <c r="H21" s="285">
        <f t="shared" si="1"/>
        <v>9.5283520432217286E-2</v>
      </c>
      <c r="I21" s="277">
        <f t="shared" si="1"/>
        <v>6.2209257068786702E-2</v>
      </c>
      <c r="J21" s="278">
        <f t="shared" si="1"/>
        <v>0.32580658700241144</v>
      </c>
      <c r="K21" s="279">
        <f t="shared" si="1"/>
        <v>3.9840661554098031E-2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pDviZYqDpraqZklvZwmlCfq/gZDKNvhiwCmiKl0J4Pcy5IDSsGa0LSHuhydRtMA+kfZ+h5z6XjbTnBh1RxHVg==" saltValue="H7Sp6mV2qxmz7bPopjQ6X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91</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40.301295297020935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11</v>
      </c>
      <c r="B10" s="502" t="str">
        <f>Datos!A10</f>
        <v>Jdos. Violencia contra la mujer</v>
      </c>
      <c r="C10" s="225">
        <f t="shared" si="0"/>
        <v>1073</v>
      </c>
      <c r="D10" s="225">
        <f>IF(ISNUMBER(Datos!I10),Datos!I10," - ")</f>
        <v>1074</v>
      </c>
      <c r="E10" s="226">
        <f>IF(ISNUMBER(Datos!J10),Datos!J10," - ")</f>
        <v>474</v>
      </c>
      <c r="F10" s="226">
        <f>IF(ISNUMBER(Datos!K10),Datos!K10," - ")</f>
        <v>491</v>
      </c>
      <c r="G10" s="1034" t="str">
        <f>IF(Datos!E10&lt;&gt;"",Datos!E10,Datos!D10)</f>
        <v>37</v>
      </c>
      <c r="H10" s="227">
        <f>IF(ISNUMBER(Datos!L10),Datos!L10," - ")</f>
        <v>1056</v>
      </c>
      <c r="I10" s="1044" t="str">
        <f>IF(ISNUMBER(Datos!AS10/Datos!BM10),Datos!AS10/Datos!BM10," - ")</f>
        <v xml:space="preserve"> - </v>
      </c>
      <c r="J10" s="1045">
        <f>IF(ISNUMBER(Datos!BY10/Datos!CN10),Datos!BY10/Datos!CN10," - ")</f>
        <v>0</v>
      </c>
      <c r="K10" s="230">
        <f t="shared" ref="K10:K12" si="1">IF(ISNUMBER((E10-F10)/C10),(E10-F10)/C10," - ")</f>
        <v>-1.5843429636533086E-2</v>
      </c>
      <c r="L10" s="1025">
        <f>IF(ISNUMBER(NºAsuntos!I10/NºAsuntos!G10),(NºAsuntos!I10/NºAsuntos!G10)*11," - ")</f>
        <v>23.657841140529531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16.174896618827535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1073</v>
      </c>
      <c r="D13" s="1049">
        <f>SUBTOTAL(9,D9:D12)</f>
        <v>1074</v>
      </c>
      <c r="E13" s="1050">
        <f>SUBTOTAL(9,E9:E12)</f>
        <v>474</v>
      </c>
      <c r="F13" s="1051">
        <f>SUBTOTAL(9,F9:F12)</f>
        <v>491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54</v>
      </c>
      <c r="B15" s="502" t="str">
        <f>Datos!A15</f>
        <v xml:space="preserve">Jdos. Instrucción                               </v>
      </c>
      <c r="C15" s="225">
        <f t="shared" ref="C15:C17" si="2">IF(ISNUMBER(H15-E15+F15),H15-E15+F15," - ")</f>
        <v>40045</v>
      </c>
      <c r="D15" s="225">
        <f>IF(ISNUMBER(IF(D_I="SI",Datos!I15,Datos!I15+Datos!AC15)),IF(D_I="SI",Datos!I15,Datos!I15+Datos!AC15)," - ")</f>
        <v>38416</v>
      </c>
      <c r="E15" s="226">
        <f>IF(ISNUMBER(IF(D_I="SI",Datos!J15,Datos!J15+Datos!AD15)),IF(D_I="SI",Datos!J15,Datos!J15+Datos!AD15)," - ")</f>
        <v>42177</v>
      </c>
      <c r="F15" s="226">
        <f>IF(ISNUMBER(IF(D_I="SI",Datos!K15,Datos!K15+Datos!AE15)),IF(D_I="SI",Datos!K15,Datos!K15+Datos!AE15)," - ")</f>
        <v>44521</v>
      </c>
      <c r="G15" s="1034" t="str">
        <f>IF(Datos!E15&lt;&gt;"",Datos!E15,Datos!D15)</f>
        <v>03</v>
      </c>
      <c r="H15" s="227">
        <f>IF(ISNUMBER(IF(D_I="SI",Datos!L15,Datos!L15+Datos!AF15)),IF(D_I="SI",Datos!L15,Datos!L15+Datos!AF15)," - ")</f>
        <v>37701</v>
      </c>
      <c r="I15" s="1044" t="str">
        <f>IF(ISNUMBER(Datos!AS15/Datos!BM15),Datos!AS15/Datos!BM15," - ")</f>
        <v xml:space="preserve"> - </v>
      </c>
      <c r="J15" s="1045">
        <f>IF(ISNUMBER(Datos!BY15/Datos!CN15),Datos!BY15/Datos!CN15," - ")</f>
        <v>0</v>
      </c>
      <c r="K15" s="230">
        <f t="shared" ref="K15:K17" si="3">IF(ISNUMBER((E15-F15)/C15),(E15-F15)/C15," - ")</f>
        <v>-5.8534149082282431E-2</v>
      </c>
      <c r="L15" s="1025">
        <f>IF(ISNUMBER(NºAsuntos!I15/NºAsuntos!G15),(NºAsuntos!I15/NºAsuntos!G15)*11," - ")</f>
        <v>9.3149524943285194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11</v>
      </c>
      <c r="B17" s="502" t="str">
        <f>Datos!A17</f>
        <v>Jdos. Violencia contra la mujer</v>
      </c>
      <c r="C17" s="225">
        <f t="shared" si="2"/>
        <v>3387</v>
      </c>
      <c r="D17" s="225">
        <f>IF(ISNUMBER(IF(D_I="SI",Datos!I17,Datos!I17+Datos!AC17)),IF(D_I="SI",Datos!I17,Datos!I17+Datos!AC17)," - ")</f>
        <v>3333</v>
      </c>
      <c r="E17" s="226">
        <f>IF(ISNUMBER(IF(D_I="SI",Datos!J17,Datos!J17+Datos!AD17)),IF(D_I="SI",Datos!J17,Datos!J17+Datos!AD17)," - ")</f>
        <v>5754</v>
      </c>
      <c r="F17" s="226">
        <f>IF(ISNUMBER(IF(D_I="SI",Datos!K17,Datos!K17+Datos!AE17)),IF(D_I="SI",Datos!K17,Datos!K17+Datos!AE17)," - ")</f>
        <v>5816</v>
      </c>
      <c r="G17" s="1034" t="str">
        <f>IF(Datos!E17&lt;&gt;"",Datos!E17,Datos!D17)</f>
        <v>37</v>
      </c>
      <c r="H17" s="227">
        <f>IF(ISNUMBER(IF(D_I="SI",Datos!L17,Datos!L17+Datos!AF17)),IF(D_I="SI",Datos!L17,Datos!L17+Datos!AF17)," - ")</f>
        <v>3325</v>
      </c>
      <c r="I17" s="1044" t="str">
        <f>IF(ISNUMBER(Datos!AS17/Datos!BM17),Datos!AS17/Datos!BM17," - ")</f>
        <v xml:space="preserve"> - </v>
      </c>
      <c r="J17" s="1045" t="str">
        <f>IF(ISNUMBER((Datos!BY17+Datos!BZ17)/Datos!CN17),(Datos!BY17+Datos!BZ17)/Datos!CN17," - ")</f>
        <v xml:space="preserve"> - </v>
      </c>
      <c r="K17" s="230">
        <f t="shared" si="3"/>
        <v>-1.8305284912902273E-2</v>
      </c>
      <c r="L17" s="1025">
        <f>IF(ISNUMBER(NºAsuntos!I17/NºAsuntos!G17),(NºAsuntos!I17/NºAsuntos!G17)*11," - ")</f>
        <v>6.2886863823933972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43432</v>
      </c>
      <c r="D18" s="1049">
        <f>SUBTOTAL(9,D15:D17)</f>
        <v>41749</v>
      </c>
      <c r="E18" s="1050">
        <f>SUBTOTAL(9,E15:E17)</f>
        <v>47931</v>
      </c>
      <c r="F18" s="1050">
        <f>SUBTOTAL(9,F15:F17)</f>
        <v>50337</v>
      </c>
      <c r="G18" s="1052" t="str">
        <f ca="1">INDIRECT(CONCATENATE("G",ROW()-1))</f>
        <v>37</v>
      </c>
      <c r="H18" s="1053">
        <f ca="1">SUMIF(G$14:G17,G18,H$14:H17)</f>
        <v>3325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44505</v>
      </c>
      <c r="D19" s="1071">
        <f>SUBTOTAL(9,D9:D18)</f>
        <v>42823</v>
      </c>
      <c r="E19" s="1072">
        <f>SUBTOTAL(9,E9:E18)</f>
        <v>48405</v>
      </c>
      <c r="F19" s="1072">
        <f>SUBTOTAL(9,F9:F18)</f>
        <v>50828</v>
      </c>
      <c r="G19" s="1073"/>
      <c r="H19" s="1074">
        <f ca="1">SUMIF(B9:B18,"TOTAL",H9:H18)</f>
        <v>3325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aVAEwgPYaUgdE8z1eMGZkmnhgVYdhncD77psXNoq+zclIR2F2wcavAKu32ks0OfUMRs0kNLrDJHpX9Cicv4/w==" saltValue="7NtfqGvSwyZPabSSjdg2D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UAptFEmaYFF+Zh/8pcGqiruJ3nqs5nERlQb/agCZRTHwVvsFwJEy+aWSCHnlB+zNJZQqYV5EQxJ1d/d/nlSDw==" saltValue="fXaQH925SJYzBsipdx9Y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293226</v>
      </c>
      <c r="J9" s="181">
        <v>94048</v>
      </c>
      <c r="K9" s="181">
        <v>80210</v>
      </c>
      <c r="L9" s="181">
        <v>307950</v>
      </c>
      <c r="M9" s="181">
        <v>18134</v>
      </c>
      <c r="N9" s="181">
        <v>45833</v>
      </c>
      <c r="O9" s="181">
        <v>23261</v>
      </c>
      <c r="P9" s="181">
        <v>10399</v>
      </c>
      <c r="Q9" s="181">
        <v>8325</v>
      </c>
      <c r="R9" s="181">
        <v>155173</v>
      </c>
      <c r="S9" s="181">
        <v>219232</v>
      </c>
      <c r="T9" s="181">
        <v>77282</v>
      </c>
      <c r="U9" s="181">
        <v>62811</v>
      </c>
      <c r="V9" s="181">
        <v>233414</v>
      </c>
      <c r="W9" s="181">
        <v>16298</v>
      </c>
      <c r="X9" s="188">
        <v>32426</v>
      </c>
      <c r="Y9" s="191">
        <v>2207</v>
      </c>
      <c r="Z9" s="181">
        <v>4667</v>
      </c>
      <c r="AA9" s="181">
        <v>4481</v>
      </c>
      <c r="AB9" s="181">
        <v>2337</v>
      </c>
      <c r="AC9" s="181">
        <v>0</v>
      </c>
      <c r="AD9" s="181">
        <v>0</v>
      </c>
      <c r="AE9" s="181">
        <v>0</v>
      </c>
      <c r="AF9" s="188">
        <v>0</v>
      </c>
      <c r="AG9" s="191">
        <v>2351</v>
      </c>
      <c r="AH9" s="181">
        <v>4819</v>
      </c>
      <c r="AI9" s="181">
        <v>4661</v>
      </c>
      <c r="AJ9" s="192">
        <v>2527</v>
      </c>
      <c r="AK9" s="180">
        <v>0</v>
      </c>
      <c r="AL9" s="181">
        <v>0</v>
      </c>
      <c r="AM9" s="181">
        <v>0</v>
      </c>
      <c r="AN9" s="188">
        <v>0</v>
      </c>
      <c r="AO9" s="258">
        <v>91</v>
      </c>
      <c r="AP9" s="154">
        <v>91</v>
      </c>
      <c r="AQ9" s="154">
        <v>91</v>
      </c>
      <c r="AR9" s="193">
        <v>91</v>
      </c>
      <c r="AS9" s="338" t="s">
        <v>798</v>
      </c>
      <c r="AT9" s="195"/>
      <c r="AU9" s="194"/>
      <c r="AV9" s="195"/>
      <c r="AW9" s="194"/>
      <c r="AX9" s="195"/>
      <c r="AY9" s="123">
        <f>IF(ISNUMBER(IF(J_V="SI",S9,S9+AG9)),IF(J_V="SI",S9,S9+AG9)," - ")</f>
        <v>221583</v>
      </c>
      <c r="AZ9" s="123">
        <f>IF(ISNUMBER(IF(J_V="SI",T9,T9+AH9)),IF(J_V="SI",T9,T9+AH9)," - ")</f>
        <v>82101</v>
      </c>
      <c r="BA9" s="124">
        <f>IF(ISNUMBER(IF(J_V="SI",U9,U9+AI9)),IF(J_V="SI",U9,U9+AI9)," - ")</f>
        <v>67472</v>
      </c>
      <c r="BB9" s="124">
        <f>IF(ISNUMBER(IF(J_V="SI",V9,V9+AJ9)),IF(J_V="SI",V9,V9+AJ9)," - ")</f>
        <v>235941</v>
      </c>
      <c r="BC9" s="125">
        <f>IF(ISNUMBER(X9),X9," - ")</f>
        <v>32426</v>
      </c>
      <c r="BD9" s="126">
        <f>IF(ISNUMBER(BA9/AZ9),BA9/AZ9," - ")</f>
        <v>0.82181703024323693</v>
      </c>
      <c r="BE9" s="127">
        <f>IF(ISNUMBER(BB9/BA9),BB9/BA9, " - ")</f>
        <v>3.4968727768555845</v>
      </c>
      <c r="BF9" s="127">
        <f>IF(ISNUMBER(BC9/BA9),BC9/BA9, " - ")</f>
        <v>0.48058453877163859</v>
      </c>
      <c r="BG9" s="196">
        <f>IF(ISNUMBER((AY9+AZ9)/BA9),(AY9+AZ9)/BA9," - ")</f>
        <v>4.5008892577661843</v>
      </c>
      <c r="BH9" s="154">
        <v>91</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1074</v>
      </c>
      <c r="J10" s="181">
        <v>474</v>
      </c>
      <c r="K10" s="181">
        <v>491</v>
      </c>
      <c r="L10" s="181">
        <v>1056</v>
      </c>
      <c r="M10" s="181">
        <v>183</v>
      </c>
      <c r="N10" s="181">
        <v>222</v>
      </c>
      <c r="O10" s="181">
        <v>129</v>
      </c>
      <c r="P10" s="181">
        <v>116</v>
      </c>
      <c r="Q10" s="181">
        <v>98</v>
      </c>
      <c r="R10" s="181">
        <v>1094</v>
      </c>
      <c r="S10" s="181">
        <v>825</v>
      </c>
      <c r="T10" s="181">
        <v>522</v>
      </c>
      <c r="U10" s="181">
        <v>482</v>
      </c>
      <c r="V10" s="181">
        <v>864</v>
      </c>
      <c r="W10" s="181">
        <v>176</v>
      </c>
      <c r="X10" s="188">
        <v>189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11</v>
      </c>
      <c r="AP10" s="155">
        <v>11</v>
      </c>
      <c r="AQ10" s="154">
        <v>11</v>
      </c>
      <c r="AR10" s="155">
        <v>11</v>
      </c>
      <c r="AS10" s="339" t="s">
        <v>792</v>
      </c>
      <c r="AT10" s="192"/>
      <c r="AU10" s="200"/>
      <c r="AV10" s="192"/>
      <c r="AW10" s="200"/>
      <c r="AX10" s="192"/>
      <c r="AY10" s="128">
        <f t="shared" ref="AY10:BC10" si="0">IF(ISNUMBER(S10),S10," - ")</f>
        <v>825</v>
      </c>
      <c r="AZ10" s="129">
        <f t="shared" si="0"/>
        <v>522</v>
      </c>
      <c r="BA10" s="129">
        <f t="shared" si="0"/>
        <v>482</v>
      </c>
      <c r="BB10" s="129">
        <f t="shared" si="0"/>
        <v>864</v>
      </c>
      <c r="BC10" s="125">
        <f t="shared" si="0"/>
        <v>176</v>
      </c>
      <c r="BD10" s="126">
        <f>IF(ISNUMBER(BA10/AZ10),BA10/AZ10," - ")</f>
        <v>0.92337164750957856</v>
      </c>
      <c r="BE10" s="127">
        <f>IF(ISNUMBER(BB10/BA10),BB10/BA10, " - ")</f>
        <v>1.7925311203319503</v>
      </c>
      <c r="BF10" s="127">
        <f>IF(ISNUMBER(BC10/BA10),BC10/BA10, " - ")</f>
        <v>0.36514522821576761</v>
      </c>
      <c r="BG10" s="196">
        <f>IF(ISNUMBER((AY10+AZ10)/BA10),(AY10+AZ10)/BA10," - ")</f>
        <v>2.7946058091286305</v>
      </c>
      <c r="BH10" s="155">
        <v>11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5641</v>
      </c>
      <c r="J11" s="183">
        <v>3658</v>
      </c>
      <c r="K11" s="183">
        <v>3763</v>
      </c>
      <c r="L11" s="183">
        <v>5537</v>
      </c>
      <c r="M11" s="183">
        <v>1780</v>
      </c>
      <c r="N11" s="183">
        <v>1329</v>
      </c>
      <c r="O11" s="181">
        <v>1179</v>
      </c>
      <c r="P11" s="183">
        <v>527</v>
      </c>
      <c r="Q11" s="183">
        <v>569</v>
      </c>
      <c r="R11" s="183">
        <v>4831</v>
      </c>
      <c r="S11" s="183">
        <v>5152</v>
      </c>
      <c r="T11" s="183">
        <v>3812</v>
      </c>
      <c r="U11" s="183">
        <v>3571</v>
      </c>
      <c r="V11" s="183">
        <v>5354</v>
      </c>
      <c r="W11" s="183">
        <v>1690</v>
      </c>
      <c r="X11" s="189">
        <v>1281</v>
      </c>
      <c r="Y11" s="191">
        <v>381</v>
      </c>
      <c r="Z11" s="181">
        <v>475</v>
      </c>
      <c r="AA11" s="181">
        <v>348</v>
      </c>
      <c r="AB11" s="181">
        <v>508</v>
      </c>
      <c r="AC11" s="183">
        <v>0</v>
      </c>
      <c r="AD11" s="183">
        <v>0</v>
      </c>
      <c r="AE11" s="183">
        <v>0</v>
      </c>
      <c r="AF11" s="189">
        <v>0</v>
      </c>
      <c r="AG11" s="202">
        <v>307</v>
      </c>
      <c r="AH11" s="183">
        <v>372</v>
      </c>
      <c r="AI11" s="183">
        <v>344</v>
      </c>
      <c r="AJ11" s="203">
        <v>347</v>
      </c>
      <c r="AK11" s="182">
        <v>0</v>
      </c>
      <c r="AL11" s="183">
        <v>0</v>
      </c>
      <c r="AM11" s="183">
        <v>0</v>
      </c>
      <c r="AN11" s="189">
        <v>0</v>
      </c>
      <c r="AO11" s="259">
        <v>14</v>
      </c>
      <c r="AP11" s="155">
        <v>14</v>
      </c>
      <c r="AQ11" s="155">
        <v>14</v>
      </c>
      <c r="AR11" s="154">
        <v>14</v>
      </c>
      <c r="AS11" s="340" t="s">
        <v>800</v>
      </c>
      <c r="AT11" s="203"/>
      <c r="AU11" s="202"/>
      <c r="AV11" s="203"/>
      <c r="AW11" s="202"/>
      <c r="AX11" s="203"/>
      <c r="AY11" s="126">
        <f t="shared" ref="AY11:BB12" si="1">IF(ISNUMBER(IF(J_V="SI",S11,S11+AG11)),IF(J_V="SI",S11,S11+AG11)," - ")</f>
        <v>5459</v>
      </c>
      <c r="AZ11" s="127">
        <f t="shared" si="1"/>
        <v>4184</v>
      </c>
      <c r="BA11" s="127">
        <f t="shared" si="1"/>
        <v>3915</v>
      </c>
      <c r="BB11" s="127">
        <f t="shared" si="1"/>
        <v>5701</v>
      </c>
      <c r="BC11" s="125">
        <f>IF(ISNUMBER(X11),X11," - ")</f>
        <v>1281</v>
      </c>
      <c r="BD11" s="126">
        <f t="shared" ref="BD11:BD12" si="2">IF(ISNUMBER(BA11/AZ11),BA11/AZ11," - ")</f>
        <v>0.93570745697896751</v>
      </c>
      <c r="BE11" s="127">
        <f t="shared" ref="BE11:BE12" si="3">IF(ISNUMBER(BB11/BA11),BB11/BA11, " - ")</f>
        <v>1.4561941251596424</v>
      </c>
      <c r="BF11" s="127">
        <f t="shared" ref="BF11:BF12" si="4">IF(ISNUMBER(BC11/BA11),BC11/BA11, " - ")</f>
        <v>0.32720306513409964</v>
      </c>
      <c r="BG11" s="196">
        <f t="shared" ref="BG11:BG12" si="5">IF(ISNUMBER((AY11+AZ11)/BA11),(AY11+AZ11)/BA11," - ")</f>
        <v>2.4630906768837804</v>
      </c>
      <c r="BH11" s="155">
        <v>14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299941</v>
      </c>
      <c r="J13" s="184">
        <f t="shared" si="6"/>
        <v>98180</v>
      </c>
      <c r="K13" s="184">
        <f t="shared" si="6"/>
        <v>84464</v>
      </c>
      <c r="L13" s="184">
        <f t="shared" si="6"/>
        <v>314543</v>
      </c>
      <c r="M13" s="184">
        <f t="shared" si="6"/>
        <v>20097</v>
      </c>
      <c r="N13" s="184">
        <f t="shared" si="6"/>
        <v>47384</v>
      </c>
      <c r="O13" s="184">
        <f t="shared" si="6"/>
        <v>24569</v>
      </c>
      <c r="P13" s="184">
        <f t="shared" si="6"/>
        <v>11042</v>
      </c>
      <c r="Q13" s="184">
        <f t="shared" si="6"/>
        <v>8992</v>
      </c>
      <c r="R13" s="184">
        <f t="shared" si="6"/>
        <v>161098</v>
      </c>
      <c r="S13" s="184">
        <f t="shared" si="6"/>
        <v>225209</v>
      </c>
      <c r="T13" s="184">
        <f t="shared" si="6"/>
        <v>81616</v>
      </c>
      <c r="U13" s="184">
        <f t="shared" si="6"/>
        <v>66864</v>
      </c>
      <c r="V13" s="184">
        <f t="shared" si="6"/>
        <v>239632</v>
      </c>
      <c r="W13" s="184">
        <f t="shared" si="6"/>
        <v>18164</v>
      </c>
      <c r="X13" s="184">
        <f t="shared" si="6"/>
        <v>33896</v>
      </c>
      <c r="Y13" s="184">
        <f t="shared" si="6"/>
        <v>2588</v>
      </c>
      <c r="Z13" s="184">
        <f t="shared" si="6"/>
        <v>5142</v>
      </c>
      <c r="AA13" s="184">
        <f t="shared" si="6"/>
        <v>4829</v>
      </c>
      <c r="AB13" s="184">
        <f t="shared" si="6"/>
        <v>2845</v>
      </c>
      <c r="AC13" s="184">
        <f t="shared" si="6"/>
        <v>0</v>
      </c>
      <c r="AD13" s="184">
        <f t="shared" si="6"/>
        <v>0</v>
      </c>
      <c r="AE13" s="184">
        <f t="shared" si="6"/>
        <v>0</v>
      </c>
      <c r="AF13" s="184">
        <f>SUBTOTAL(9,AF9:AF12)</f>
        <v>0</v>
      </c>
      <c r="AG13" s="184">
        <f t="shared" ref="AG13:AT13" si="7">SUBTOTAL(9,AG8:AG12)</f>
        <v>2658</v>
      </c>
      <c r="AH13" s="184">
        <f t="shared" si="7"/>
        <v>5191</v>
      </c>
      <c r="AI13" s="184">
        <f t="shared" si="7"/>
        <v>5005</v>
      </c>
      <c r="AJ13" s="184">
        <f t="shared" si="7"/>
        <v>2874</v>
      </c>
      <c r="AK13" s="184">
        <f t="shared" si="7"/>
        <v>0</v>
      </c>
      <c r="AL13" s="184">
        <f t="shared" si="7"/>
        <v>0</v>
      </c>
      <c r="AM13" s="184">
        <f t="shared" si="7"/>
        <v>0</v>
      </c>
      <c r="AN13" s="184">
        <f t="shared" si="7"/>
        <v>0</v>
      </c>
      <c r="AO13" s="184">
        <f t="shared" si="7"/>
        <v>116</v>
      </c>
      <c r="AP13" s="184">
        <f t="shared" si="7"/>
        <v>116</v>
      </c>
      <c r="AQ13" s="184">
        <f t="shared" si="7"/>
        <v>116</v>
      </c>
      <c r="AR13" s="184">
        <f t="shared" si="7"/>
        <v>116</v>
      </c>
      <c r="AS13" s="184">
        <f t="shared" si="7"/>
        <v>0</v>
      </c>
      <c r="AT13" s="184">
        <f t="shared" si="7"/>
        <v>0</v>
      </c>
      <c r="AU13" s="204"/>
      <c r="AV13" s="132"/>
      <c r="AW13" s="204"/>
      <c r="AX13" s="132"/>
      <c r="AY13" s="184">
        <f>SUBTOTAL(9,AY8:AY12)</f>
        <v>227867</v>
      </c>
      <c r="AZ13" s="184">
        <f>SUBTOTAL(9,AZ8:AZ12)</f>
        <v>86807</v>
      </c>
      <c r="BA13" s="184">
        <f>SUBTOTAL(9,BA8:BA12)</f>
        <v>71869</v>
      </c>
      <c r="BB13" s="184">
        <f>SUBTOTAL(9,BB8:BB12)</f>
        <v>242506</v>
      </c>
      <c r="BC13" s="184">
        <f>SUBTOTAL(9,BC8:BC12)</f>
        <v>33883</v>
      </c>
      <c r="BD13" s="205">
        <f>IF(ISNUMBER(BA13/AZ13),BA13/AZ13," - ")</f>
        <v>0.8279171034593984</v>
      </c>
      <c r="BE13" s="206">
        <f>IF(ISNUMBER(BB13/BA13),BB13/BA13, " - ")</f>
        <v>3.374278200615008</v>
      </c>
      <c r="BF13" s="206">
        <f>IF(ISNUMBER(BC13/BA13),BC13/BA13, " - ")</f>
        <v>0.47145500841809401</v>
      </c>
      <c r="BG13" s="207">
        <f>IF(ISNUMBER((AY13+AZ13)/BA13),(AY13+AZ13)/BA13," - ")</f>
        <v>4.3784385479135652</v>
      </c>
      <c r="BH13" s="140">
        <f>SUBTOTAL(9,BH8:BH12)</f>
        <v>116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38416</v>
      </c>
      <c r="J15" s="183">
        <v>42177</v>
      </c>
      <c r="K15" s="183">
        <v>44521</v>
      </c>
      <c r="L15" s="183">
        <v>37701</v>
      </c>
      <c r="M15" s="183">
        <v>6366</v>
      </c>
      <c r="N15" s="183">
        <v>24011</v>
      </c>
      <c r="O15" s="181">
        <v>1693</v>
      </c>
      <c r="P15" s="183">
        <v>2728</v>
      </c>
      <c r="Q15" s="183">
        <v>2869</v>
      </c>
      <c r="R15" s="183">
        <v>4047</v>
      </c>
      <c r="S15" s="183">
        <v>37823</v>
      </c>
      <c r="T15" s="183">
        <v>50414</v>
      </c>
      <c r="U15" s="183">
        <v>50591</v>
      </c>
      <c r="V15" s="183">
        <v>39098</v>
      </c>
      <c r="W15" s="183">
        <v>7088</v>
      </c>
      <c r="X15" s="189">
        <v>29228</v>
      </c>
      <c r="Y15" s="202">
        <v>0</v>
      </c>
      <c r="Z15" s="183">
        <v>0</v>
      </c>
      <c r="AA15" s="183">
        <v>0</v>
      </c>
      <c r="AB15" s="183">
        <v>0</v>
      </c>
      <c r="AC15" s="183">
        <v>442</v>
      </c>
      <c r="AD15" s="183">
        <v>8582</v>
      </c>
      <c r="AE15" s="183">
        <v>8539</v>
      </c>
      <c r="AF15" s="189">
        <v>485</v>
      </c>
      <c r="AG15" s="202">
        <v>0</v>
      </c>
      <c r="AH15" s="183">
        <v>0</v>
      </c>
      <c r="AI15" s="183">
        <v>0</v>
      </c>
      <c r="AJ15" s="203">
        <v>0</v>
      </c>
      <c r="AK15" s="182">
        <v>398</v>
      </c>
      <c r="AL15" s="183">
        <v>9684</v>
      </c>
      <c r="AM15" s="183">
        <v>9723</v>
      </c>
      <c r="AN15" s="189">
        <v>359</v>
      </c>
      <c r="AO15" s="259">
        <v>54</v>
      </c>
      <c r="AP15" s="155">
        <v>54</v>
      </c>
      <c r="AQ15" s="155">
        <v>54</v>
      </c>
      <c r="AR15" s="155">
        <v>54</v>
      </c>
      <c r="AS15" s="340" t="s">
        <v>526</v>
      </c>
      <c r="AT15" s="203" t="s">
        <v>326</v>
      </c>
      <c r="AU15" s="202"/>
      <c r="AV15" s="203"/>
      <c r="AW15" s="202"/>
      <c r="AX15" s="203"/>
      <c r="AY15" s="128">
        <f t="shared" ref="AY15:BB16" si="9">IF(ISNUMBER(IF(D_I="SI",S15,S15+AK15)),IF(D_I="SI",S15,S15+AK15)," - ")</f>
        <v>37823</v>
      </c>
      <c r="AZ15" s="129">
        <f t="shared" si="9"/>
        <v>50414</v>
      </c>
      <c r="BA15" s="129">
        <f t="shared" si="9"/>
        <v>50591</v>
      </c>
      <c r="BB15" s="129">
        <f t="shared" si="9"/>
        <v>39098</v>
      </c>
      <c r="BC15" s="125">
        <f>IF(ISNUMBER(W15),W15," - ")</f>
        <v>7088</v>
      </c>
      <c r="BD15" s="126">
        <f>IF(ISNUMBER(BA15/AZ15),BA15/AZ15," - ")</f>
        <v>1.0035109295037092</v>
      </c>
      <c r="BE15" s="127">
        <f>IF(ISNUMBER(BB15/BA15),BB15/BA15, " - ")</f>
        <v>0.7728252060643197</v>
      </c>
      <c r="BF15" s="127">
        <f>IF(ISNUMBER(BC15/BA15),BC15/BA15, " - ")</f>
        <v>0.14010397106204661</v>
      </c>
      <c r="BG15" s="196">
        <f t="shared" ref="BG15:BG16" si="10">IF(ISNUMBER((AY15+AZ15)/BA15),(AY15+AZ15)/BA15," - ")</f>
        <v>1.7441244490126702</v>
      </c>
      <c r="BH15" s="155">
        <v>54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3333</v>
      </c>
      <c r="J17" s="183">
        <v>5754</v>
      </c>
      <c r="K17" s="183">
        <v>5816</v>
      </c>
      <c r="L17" s="183">
        <v>3325</v>
      </c>
      <c r="M17" s="183">
        <v>88</v>
      </c>
      <c r="N17" s="183">
        <v>4147</v>
      </c>
      <c r="O17" s="183">
        <v>2</v>
      </c>
      <c r="P17" s="183">
        <v>21</v>
      </c>
      <c r="Q17" s="183">
        <v>25</v>
      </c>
      <c r="R17" s="183">
        <v>31</v>
      </c>
      <c r="S17" s="183">
        <v>3239</v>
      </c>
      <c r="T17" s="183">
        <v>5399</v>
      </c>
      <c r="U17" s="183">
        <v>5648</v>
      </c>
      <c r="V17" s="183">
        <v>3121</v>
      </c>
      <c r="W17" s="183">
        <v>79</v>
      </c>
      <c r="X17" s="189">
        <v>3686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11</v>
      </c>
      <c r="AP17" s="155">
        <v>11</v>
      </c>
      <c r="AQ17" s="154">
        <v>11</v>
      </c>
      <c r="AR17" s="155">
        <v>11</v>
      </c>
      <c r="AS17" s="339" t="s">
        <v>791</v>
      </c>
      <c r="AT17" s="209"/>
      <c r="AU17" s="200"/>
      <c r="AV17" s="209"/>
      <c r="AW17" s="200"/>
      <c r="AX17" s="209"/>
      <c r="AY17" s="128">
        <f t="shared" ref="AY17:BB17" si="14">IF(ISNUMBER(S17),S17," - ")</f>
        <v>3239</v>
      </c>
      <c r="AZ17" s="129">
        <f t="shared" si="14"/>
        <v>5399</v>
      </c>
      <c r="BA17" s="129">
        <f t="shared" si="14"/>
        <v>5648</v>
      </c>
      <c r="BB17" s="129">
        <f t="shared" si="14"/>
        <v>3121</v>
      </c>
      <c r="BC17" s="125">
        <f>IF(ISNUMBER(W17),W17," - ")</f>
        <v>79</v>
      </c>
      <c r="BD17" s="126">
        <f>IF(ISNUMBER(BA17/AZ17),BA17/AZ17," - ")</f>
        <v>1.0461196517873681</v>
      </c>
      <c r="BE17" s="127">
        <f>IF(ISNUMBER(BB17/BA17),BB17/BA17, " - ")</f>
        <v>0.55258498583569404</v>
      </c>
      <c r="BF17" s="127">
        <f>IF(ISNUMBER(BC17/BA17),BC17/BA17, " - ")</f>
        <v>1.3987252124645893E-2</v>
      </c>
      <c r="BG17" s="196">
        <f>IF(ISNUMBER((AY17+AZ17)/BA17),(AY17+AZ17)/BA17," - ")</f>
        <v>1.5293909348441925</v>
      </c>
      <c r="BH17" s="155">
        <v>11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41749</v>
      </c>
      <c r="J18" s="184">
        <f t="shared" si="15"/>
        <v>47931</v>
      </c>
      <c r="K18" s="184">
        <f t="shared" si="15"/>
        <v>50337</v>
      </c>
      <c r="L18" s="184">
        <f t="shared" si="15"/>
        <v>41026</v>
      </c>
      <c r="M18" s="184">
        <f t="shared" si="15"/>
        <v>6454</v>
      </c>
      <c r="N18" s="184">
        <f t="shared" si="15"/>
        <v>28158</v>
      </c>
      <c r="O18" s="184">
        <f t="shared" si="15"/>
        <v>1695</v>
      </c>
      <c r="P18" s="184">
        <f t="shared" si="15"/>
        <v>2749</v>
      </c>
      <c r="Q18" s="184">
        <f t="shared" si="15"/>
        <v>2894</v>
      </c>
      <c r="R18" s="184">
        <f t="shared" si="15"/>
        <v>4078</v>
      </c>
      <c r="S18" s="184">
        <f t="shared" si="15"/>
        <v>41062</v>
      </c>
      <c r="T18" s="184">
        <f t="shared" si="15"/>
        <v>55813</v>
      </c>
      <c r="U18" s="184">
        <f t="shared" si="15"/>
        <v>56239</v>
      </c>
      <c r="V18" s="184">
        <f t="shared" si="15"/>
        <v>42219</v>
      </c>
      <c r="W18" s="184">
        <f t="shared" si="15"/>
        <v>7167</v>
      </c>
      <c r="X18" s="184">
        <f t="shared" si="15"/>
        <v>32914</v>
      </c>
      <c r="Y18" s="184">
        <f t="shared" si="15"/>
        <v>0</v>
      </c>
      <c r="Z18" s="184">
        <f t="shared" si="15"/>
        <v>0</v>
      </c>
      <c r="AA18" s="184">
        <f t="shared" si="15"/>
        <v>0</v>
      </c>
      <c r="AB18" s="184">
        <f t="shared" si="15"/>
        <v>0</v>
      </c>
      <c r="AC18" s="184">
        <f t="shared" si="15"/>
        <v>442</v>
      </c>
      <c r="AD18" s="184">
        <f t="shared" si="15"/>
        <v>8582</v>
      </c>
      <c r="AE18" s="184">
        <f t="shared" si="15"/>
        <v>8539</v>
      </c>
      <c r="AF18" s="184">
        <f t="shared" si="15"/>
        <v>485</v>
      </c>
      <c r="AG18" s="184">
        <f t="shared" si="15"/>
        <v>0</v>
      </c>
      <c r="AH18" s="184">
        <f t="shared" si="15"/>
        <v>0</v>
      </c>
      <c r="AI18" s="184">
        <f t="shared" si="15"/>
        <v>0</v>
      </c>
      <c r="AJ18" s="184">
        <f t="shared" si="15"/>
        <v>0</v>
      </c>
      <c r="AK18" s="184">
        <f t="shared" si="15"/>
        <v>398</v>
      </c>
      <c r="AL18" s="184">
        <f t="shared" si="15"/>
        <v>9684</v>
      </c>
      <c r="AM18" s="184">
        <f t="shared" si="15"/>
        <v>9723</v>
      </c>
      <c r="AN18" s="184">
        <f t="shared" si="15"/>
        <v>359</v>
      </c>
      <c r="AO18" s="184">
        <f t="shared" si="15"/>
        <v>65</v>
      </c>
      <c r="AP18" s="184">
        <f t="shared" si="15"/>
        <v>65</v>
      </c>
      <c r="AQ18" s="184">
        <f t="shared" si="15"/>
        <v>65</v>
      </c>
      <c r="AR18" s="184">
        <f t="shared" si="15"/>
        <v>65</v>
      </c>
      <c r="AS18" s="184">
        <f t="shared" si="15"/>
        <v>0</v>
      </c>
      <c r="AT18" s="184">
        <f t="shared" si="15"/>
        <v>0</v>
      </c>
      <c r="AU18" s="204"/>
      <c r="AV18" s="132"/>
      <c r="AW18" s="204"/>
      <c r="AX18" s="132"/>
      <c r="AY18" s="184">
        <f>SUBTOTAL(9,AY14:AY17)</f>
        <v>41062</v>
      </c>
      <c r="AZ18" s="184">
        <f>SUBTOTAL(9,AZ14:AZ17)</f>
        <v>55813</v>
      </c>
      <c r="BA18" s="184">
        <f>SUBTOTAL(9,BA14:BA17)</f>
        <v>56239</v>
      </c>
      <c r="BB18" s="184">
        <f>SUBTOTAL(9,BB14:BB17)</f>
        <v>42219</v>
      </c>
      <c r="BC18" s="184">
        <f>SUBTOTAL(9,BC14:BC17)</f>
        <v>7167</v>
      </c>
      <c r="BD18" s="205">
        <f>IF(ISNUMBER(BA18/AZ18),BA18/AZ18," - ")</f>
        <v>1.0076326303907692</v>
      </c>
      <c r="BE18" s="206">
        <f>IF(ISNUMBER(BB18/BA18),BB18/BA18, " - ")</f>
        <v>0.75070680488628883</v>
      </c>
      <c r="BF18" s="206">
        <f>IF(ISNUMBER(BC18/BA18),BC18/BA18, " - ")</f>
        <v>0.12743825459200911</v>
      </c>
      <c r="BG18" s="207">
        <f>IF(ISNUMBER((AY18+AZ18)/BA18),(AY18+AZ18)/BA18," - ")</f>
        <v>1.7225590782197409</v>
      </c>
      <c r="BH18" s="184">
        <f>SUBTOTAL(9,BH14:BH17)</f>
        <v>65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341690</v>
      </c>
      <c r="J19" s="134">
        <f t="shared" si="18"/>
        <v>146111</v>
      </c>
      <c r="K19" s="134">
        <f t="shared" si="18"/>
        <v>134801</v>
      </c>
      <c r="L19" s="134">
        <f t="shared" si="18"/>
        <v>355569</v>
      </c>
      <c r="M19" s="134">
        <f t="shared" si="18"/>
        <v>26551</v>
      </c>
      <c r="N19" s="134">
        <f t="shared" si="18"/>
        <v>75542</v>
      </c>
      <c r="O19" s="134">
        <f t="shared" si="18"/>
        <v>26264</v>
      </c>
      <c r="P19" s="134">
        <f t="shared" si="18"/>
        <v>13791</v>
      </c>
      <c r="Q19" s="134">
        <f t="shared" si="18"/>
        <v>11886</v>
      </c>
      <c r="R19" s="134">
        <f t="shared" si="18"/>
        <v>165176</v>
      </c>
      <c r="S19" s="134">
        <f t="shared" si="18"/>
        <v>266271</v>
      </c>
      <c r="T19" s="134">
        <f t="shared" si="18"/>
        <v>137429</v>
      </c>
      <c r="U19" s="134">
        <f t="shared" si="18"/>
        <v>123103</v>
      </c>
      <c r="V19" s="134">
        <f t="shared" si="18"/>
        <v>281851</v>
      </c>
      <c r="W19" s="134">
        <f t="shared" si="18"/>
        <v>25331</v>
      </c>
      <c r="X19" s="134">
        <f t="shared" si="18"/>
        <v>66810</v>
      </c>
      <c r="Y19" s="134">
        <f t="shared" si="18"/>
        <v>2588</v>
      </c>
      <c r="Z19" s="134">
        <f t="shared" si="18"/>
        <v>5142</v>
      </c>
      <c r="AA19" s="134">
        <f t="shared" si="18"/>
        <v>4829</v>
      </c>
      <c r="AB19" s="134">
        <f t="shared" si="18"/>
        <v>2845</v>
      </c>
      <c r="AC19" s="134">
        <f t="shared" si="18"/>
        <v>442</v>
      </c>
      <c r="AD19" s="134">
        <f t="shared" si="18"/>
        <v>8582</v>
      </c>
      <c r="AE19" s="134">
        <f t="shared" si="18"/>
        <v>8539</v>
      </c>
      <c r="AF19" s="134">
        <f t="shared" si="18"/>
        <v>485</v>
      </c>
      <c r="AG19" s="134">
        <f t="shared" si="18"/>
        <v>2658</v>
      </c>
      <c r="AH19" s="134">
        <f t="shared" si="18"/>
        <v>5191</v>
      </c>
      <c r="AI19" s="134">
        <f t="shared" si="18"/>
        <v>5005</v>
      </c>
      <c r="AJ19" s="134">
        <f t="shared" si="18"/>
        <v>2874</v>
      </c>
      <c r="AK19" s="134">
        <f t="shared" si="18"/>
        <v>398</v>
      </c>
      <c r="AL19" s="134">
        <f t="shared" si="18"/>
        <v>9684</v>
      </c>
      <c r="AM19" s="134">
        <f t="shared" si="18"/>
        <v>9723</v>
      </c>
      <c r="AN19" s="210">
        <f t="shared" si="18"/>
        <v>359</v>
      </c>
      <c r="AO19" s="211">
        <v>170</v>
      </c>
      <c r="AP19" s="211">
        <v>170</v>
      </c>
      <c r="AQ19" s="211">
        <v>170</v>
      </c>
      <c r="AR19" s="211">
        <v>170</v>
      </c>
      <c r="AS19" s="153">
        <f t="shared" si="18"/>
        <v>0</v>
      </c>
      <c r="AT19" s="153">
        <f t="shared" si="18"/>
        <v>0</v>
      </c>
      <c r="AU19" s="211"/>
      <c r="AV19" s="212"/>
      <c r="AW19" s="211"/>
      <c r="AX19" s="212"/>
      <c r="AY19" s="133">
        <f>SUBTOTAL(9,AY9:AY18)</f>
        <v>268929</v>
      </c>
      <c r="AZ19" s="134">
        <f>SUBTOTAL(9,AZ9:AZ18)</f>
        <v>142620</v>
      </c>
      <c r="BA19" s="134">
        <f>SUBTOTAL(9,BA9:BA18)</f>
        <v>128108</v>
      </c>
      <c r="BB19" s="134">
        <f>SUBTOTAL(9,BB9:BB18)</f>
        <v>284725</v>
      </c>
      <c r="BC19" s="135">
        <f>SUBTOTAL(9,BC9:BC18)</f>
        <v>41050</v>
      </c>
      <c r="BD19" s="213">
        <f>IF(ISNUMBER(BA19/AZ19),BA19/AZ19," - ")</f>
        <v>0.89824709016968163</v>
      </c>
      <c r="BE19" s="210">
        <f>IF(ISNUMBER(BB19/BA19),BB19/BA19, " - ")</f>
        <v>2.2225387953913884</v>
      </c>
      <c r="BF19" s="210">
        <f>IF(ISNUMBER(BC19/BA19),BC19/BA19, " - ")</f>
        <v>0.3204327598588691</v>
      </c>
      <c r="BG19" s="135">
        <f>IF(ISNUMBER((AY19+AZ19)/BA19),(AY19+AZ19)/BA19," - ")</f>
        <v>3.2125160021232086</v>
      </c>
      <c r="BH19" s="211">
        <f>SUBTOTAL(9,BH9:BH18)</f>
        <v>181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0UpSKwqwmj1dWuZEG64ltQ/hM1veHkD8XSKRR96Y13kDjT7XvlqUTHbKrC12GEDFFCiyO0PSsX83EsykfHr3g==" saltValue="VEzcOxn4oAsf1Zrk+ZJey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8uc9xHxjDZlZLx156slN4JHuL0q89++a+lHCGmg1vnlpewq/orwPlSivEiSTHDAknGHvwW76V8fAGwmy3bCoA==" saltValue="+KdP4AnJ5qOXYiP0507YX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91</v>
      </c>
      <c r="B9" s="501" t="s">
        <v>246</v>
      </c>
      <c r="C9" s="160" t="str">
        <f>Datos!A9</f>
        <v xml:space="preserve">Jdos. 1ª Instancia   </v>
      </c>
      <c r="D9" s="502"/>
      <c r="E9" s="260">
        <f>IF(ISNUMBER(Datos!AQ9),Datos!AQ9," - ")</f>
        <v>91</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4667</v>
      </c>
      <c r="O9" s="334"/>
      <c r="P9" s="334"/>
      <c r="Q9" s="226">
        <f>IF(ISNUMBER(Datos!P9),Datos!P9,0)</f>
        <v>10399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8325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2337</v>
      </c>
      <c r="AI9" s="334" t="str">
        <f>IF(ISNUMBER(Datos!CD9),Datos!CD9,"-")</f>
        <v>-</v>
      </c>
      <c r="AJ9" s="334" t="str">
        <f>IF(ISNUMBER(Datos!EN9),Datos!EN9," - ")</f>
        <v xml:space="preserve"> - </v>
      </c>
      <c r="AK9" s="334"/>
      <c r="AL9" s="479"/>
      <c r="AM9" s="335">
        <f>IF(ISNUMBER(Datos!R9),Datos!R9," - ")</f>
        <v>155173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18134</v>
      </c>
      <c r="BD9" s="229">
        <f>IF(ISNUMBER(Datos!N9),Datos!N9," - ")</f>
        <v>45833</v>
      </c>
      <c r="BE9" s="229" t="str">
        <f>IF(ISNUMBER(Datos!BW9),Datos!BW9," - ")</f>
        <v xml:space="preserve"> - </v>
      </c>
      <c r="BF9" s="228" t="str">
        <f>IF(ISNUMBER(Datos!BX9),Datos!BX9," - ")</f>
        <v xml:space="preserve"> - </v>
      </c>
      <c r="BG9" s="243">
        <f>IF(ISNUMBER(IF(J_V="SI",Datos!K9/Datos!J9,(Datos!K9+Datos!AA9)/(Datos!J9+Datos!Z9))),IF(J_V="SI",Datos!K9/Datos!J9,(Datos!K9+Datos!AA9)/(Datos!J9+Datos!Z9))," - ")</f>
        <v>0.85793445778250521</v>
      </c>
      <c r="BH9" s="260">
        <f>IF(ISNUMBER(((IF(J_V="SI",Datos!L9/Datos!K9,(Datos!L9+Datos!AB9)/(Datos!K9+Datos!AA9)))*11)/factor_trimestre),((IF(J_V="SI",Datos!L9/Datos!K9,(Datos!L9+Datos!AB9)/(Datos!K9+Datos!AA9)))*11)/factor_trimestre," - ")</f>
        <v>10.991262353732983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1.3546789985564895E-2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11</v>
      </c>
      <c r="B10" s="507" t="s">
        <v>246</v>
      </c>
      <c r="C10" s="7" t="str">
        <f>Datos!A10</f>
        <v>Jdos. Violencia contra la mujer</v>
      </c>
      <c r="D10" s="508"/>
      <c r="E10" s="260">
        <f>IF(ISNUMBER(Datos!AQ10),Datos!AQ10," - ")</f>
        <v>11</v>
      </c>
      <c r="F10" s="225">
        <f>IF(ISNUMBER(Datos!L10+Datos!K10-Datos!J10),Datos!L10+Datos!K10-Datos!J10," - ")</f>
        <v>1073</v>
      </c>
      <c r="G10" s="333">
        <f>IF(ISNUMBER(Datos!I10),Datos!I10," - ")</f>
        <v>1074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491</v>
      </c>
      <c r="AC10" s="226">
        <f>IF(ISNUMBER(Datos!Q10),Datos!Q10," - ")</f>
        <v>98</v>
      </c>
      <c r="AD10" s="334"/>
      <c r="AE10" s="484"/>
      <c r="AF10" s="332">
        <f>IF(ISNUMBER(Datos!L10),Datos!L10,"-")</f>
        <v>1056</v>
      </c>
      <c r="AG10" s="334"/>
      <c r="AH10" s="334"/>
      <c r="AI10" s="334"/>
      <c r="AJ10" s="334"/>
      <c r="AK10" s="334"/>
      <c r="AL10" s="479"/>
      <c r="AM10" s="335">
        <f>IF(ISNUMBER(Datos!R10),Datos!R10," - ")</f>
        <v>1094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183</v>
      </c>
      <c r="BD10" s="229">
        <f>IF(ISNUMBER(Datos!N10),Datos!N10," - ")</f>
        <v>222</v>
      </c>
      <c r="BE10" s="229" t="str">
        <f>IF(ISNUMBER(Datos!BW10),Datos!BW10," - ")</f>
        <v xml:space="preserve"> - </v>
      </c>
      <c r="BF10" s="228" t="str">
        <f>IF(ISNUMBER(Datos!BX10),Datos!BX10," - ")</f>
        <v xml:space="preserve"> - </v>
      </c>
      <c r="BG10" s="243">
        <f>IF(ISNUMBER(Datos!K10/Datos!J10),Datos!K10/Datos!J10," - ")</f>
        <v>1.0358649789029535</v>
      </c>
      <c r="BH10" s="260">
        <f>IF(ISNUMBER(((Datos!L10/Datos!K10)*11)/factor_trimestre),((Datos!L10/Datos!K10)*11)/factor_trimestre," - ")</f>
        <v>6.4521384928716907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1.6728624535315983E-2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14</v>
      </c>
      <c r="B11" s="507" t="s">
        <v>246</v>
      </c>
      <c r="C11" s="7" t="str">
        <f>Datos!A11</f>
        <v xml:space="preserve">Jdos. Familia                                   </v>
      </c>
      <c r="D11" s="508"/>
      <c r="E11" s="260">
        <f>IF(ISNUMBER(Datos!AQ11),Datos!AQ11," - ")</f>
        <v>14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475</v>
      </c>
      <c r="O11" s="334"/>
      <c r="P11" s="334"/>
      <c r="Q11" s="226">
        <f>IF(ISNUMBER(Datos!P11),Datos!P11,0)</f>
        <v>527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569</v>
      </c>
      <c r="AD11" s="334"/>
      <c r="AE11" s="484"/>
      <c r="AF11" s="332" t="str">
        <f>IF(ISNUMBER(IF(J_V="SI",Datos!L11,Datos!L11+Datos!AB11)-IF(Monitorios="SI",Datos!CD11,0)),
                          IF(J_V="SI",Datos!L11,Datos!L11+Datos!AB11)-IF(Monitorios="SI",Datos!CD11,0),
                          " - ")</f>
        <v xml:space="preserve"> - </v>
      </c>
      <c r="AG11" s="334"/>
      <c r="AH11" s="334">
        <f>IF(ISNUMBER(Datos!AB11),Datos!AB11,"-")</f>
        <v>508</v>
      </c>
      <c r="AI11" s="334"/>
      <c r="AJ11" s="334"/>
      <c r="AK11" s="334"/>
      <c r="AL11" s="479"/>
      <c r="AM11" s="335">
        <f>IF(ISNUMBER(Datos!R11),Datos!R11," - ")</f>
        <v>4831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1780</v>
      </c>
      <c r="BD11" s="229">
        <f>IF(ISNUMBER(Datos!N11),Datos!N11," - ")</f>
        <v>1329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0.99467699007984511</v>
      </c>
      <c r="BH11" s="260">
        <f>IF(ISNUMBER(((IF(J_V="SI",Datos!L11/Datos!K11,(Datos!L11+Datos!AB11)/(Datos!K11+Datos!AA11)))*11)/factor_trimestre),((IF(J_V="SI",Datos!L11/Datos!K11,(Datos!L11+Datos!AB11)/(Datos!K11+Datos!AA11)))*11)/factor_trimestre," - ")</f>
        <v>4.4113354414984185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-8.6189205828032019E-3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116</v>
      </c>
      <c r="F13" s="898">
        <f t="shared" si="0"/>
        <v>1073</v>
      </c>
      <c r="G13" s="898">
        <f t="shared" si="0"/>
        <v>1074</v>
      </c>
      <c r="H13" s="899">
        <f t="shared" si="0"/>
        <v>0</v>
      </c>
      <c r="I13" s="898">
        <f t="shared" si="0"/>
        <v>0</v>
      </c>
      <c r="J13" s="867">
        <f t="shared" si="0"/>
        <v>0</v>
      </c>
      <c r="K13" s="867">
        <f t="shared" si="0"/>
        <v>0</v>
      </c>
      <c r="L13" s="899">
        <f t="shared" si="0"/>
        <v>0</v>
      </c>
      <c r="M13" s="899">
        <f t="shared" si="0"/>
        <v>0</v>
      </c>
      <c r="N13" s="899">
        <f t="shared" si="0"/>
        <v>5142</v>
      </c>
      <c r="O13" s="900">
        <f t="shared" si="0"/>
        <v>0</v>
      </c>
      <c r="P13" s="900">
        <f t="shared" si="0"/>
        <v>0</v>
      </c>
      <c r="Q13" s="899">
        <f t="shared" si="0"/>
        <v>11042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491</v>
      </c>
      <c r="AC13" s="899">
        <f t="shared" si="1"/>
        <v>8992</v>
      </c>
      <c r="AD13" s="899">
        <f t="shared" si="1"/>
        <v>0</v>
      </c>
      <c r="AE13" s="899">
        <f t="shared" si="1"/>
        <v>0</v>
      </c>
      <c r="AF13" s="899">
        <f t="shared" si="1"/>
        <v>1056</v>
      </c>
      <c r="AG13" s="899">
        <f t="shared" si="1"/>
        <v>0</v>
      </c>
      <c r="AH13" s="899">
        <f t="shared" si="1"/>
        <v>2845</v>
      </c>
      <c r="AI13" s="899">
        <f t="shared" si="1"/>
        <v>0</v>
      </c>
      <c r="AJ13" s="899">
        <f t="shared" si="1"/>
        <v>0</v>
      </c>
      <c r="AK13" s="899">
        <f t="shared" si="1"/>
        <v>0</v>
      </c>
      <c r="AL13" s="899">
        <f t="shared" si="1"/>
        <v>0</v>
      </c>
      <c r="AM13" s="899">
        <f t="shared" si="1"/>
        <v>161098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20097</v>
      </c>
      <c r="BD13" s="899">
        <f t="shared" si="1"/>
        <v>47384</v>
      </c>
      <c r="BE13" s="899">
        <f t="shared" si="1"/>
        <v>0</v>
      </c>
      <c r="BF13" s="899">
        <f t="shared" si="1"/>
        <v>0</v>
      </c>
      <c r="BG13" s="899">
        <f>IF(ISNUMBER(Datos!K13/Datos!J13),Datos!K13/Datos!J13," - ")</f>
        <v>0.86029741291505402</v>
      </c>
      <c r="BH13" s="903">
        <f>IF(ISNUMBER(((Datos!L13/Datos!K13)*11)/factor_trimestre),((Datos!L13/Datos!K13)*11)/factor_trimestre," - ")</f>
        <v>11.171966755067247</v>
      </c>
      <c r="BI13" s="899">
        <f>IF(ISNUMBER('Resol  Asuntos'!D13/NºAsuntos!G13),'Resol  Asuntos'!D13/NºAsuntos!G13," - ")</f>
        <v>0.22506803444838902</v>
      </c>
      <c r="BJ13" s="899" t="str">
        <f>IF(ISNUMBER(Datos!CI13/Datos!CJ13),Datos!CI13/Datos!CJ13," - ")</f>
        <v xml:space="preserve"> - </v>
      </c>
      <c r="BK13" s="899">
        <f>SUBTOTAL(9,BK8:BK12)</f>
        <v>0</v>
      </c>
      <c r="BL13" s="899">
        <f>IF(ISNUMBER((I13-AB13+L13)/(F13)),(I13-AB13+L13)/(F13)," - ")</f>
        <v>-0.4575955265610438</v>
      </c>
      <c r="BM13" s="904">
        <f>SUBTOTAL(9,BM9:BM12)</f>
        <v>2.1656493938077677E-2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54</v>
      </c>
      <c r="B15" s="594" t="s">
        <v>396</v>
      </c>
      <c r="C15" s="600" t="str">
        <f>Datos!A15</f>
        <v xml:space="preserve">Jdos. Instrucción                               </v>
      </c>
      <c r="D15" s="601"/>
      <c r="E15" s="1165">
        <f>IF(ISNUMBER(Datos!AQ15),Datos!AQ15," - ")</f>
        <v>54</v>
      </c>
      <c r="F15" s="595">
        <f>IF(ISNUMBER(AF15+AB15-Datos!J15-L15),AF15+AB15-Datos!J15-L15," - ")</f>
        <v>40045</v>
      </c>
      <c r="G15" s="598">
        <f>IF(ISNUMBER(IF(D_I="SI",Datos!I15,Datos!I15+Datos!AC15)),IF(D_I="SI",Datos!I15,Datos!I15+Datos!AC15)," - ")</f>
        <v>38416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2728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44521</v>
      </c>
      <c r="AC15" s="226">
        <f>IF(ISNUMBER(Datos!Q15),Datos!Q15," - ")</f>
        <v>2869</v>
      </c>
      <c r="AD15" s="334"/>
      <c r="AE15" s="484"/>
      <c r="AF15" s="596">
        <f>IF(ISNUMBER(IF(D_I="SI",Datos!L15,Datos!L15+Datos!AF15)),IF(D_I="SI",Datos!L15,Datos!L15+Datos!AF15)," - ")</f>
        <v>37701</v>
      </c>
      <c r="AG15" s="334"/>
      <c r="AH15" s="334"/>
      <c r="AI15" s="334"/>
      <c r="AJ15" s="334"/>
      <c r="AK15" s="334"/>
      <c r="AL15" s="479"/>
      <c r="AM15" s="335">
        <f>IF(ISNUMBER(Datos!R15),Datos!R15," - ")</f>
        <v>4047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6366</v>
      </c>
      <c r="BD15" s="229">
        <f>IF(ISNUMBER(Datos!N15),Datos!N15," - ")</f>
        <v>24011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1.0555753135595229</v>
      </c>
      <c r="BH15" s="260">
        <f>IF(ISNUMBER(((IF(D_I="SI",Datos!L15/Datos!K15,(Datos!L15+Datos!AF15)/(Datos!K15+Datos!AE15)))*11)/factor_trimestre),((IF(D_I="SI",Datos!L15/Datos!K15,(Datos!L15+Datos!AF15)/(Datos!K15+Datos!AE15)))*11)/factor_trimestre," - ")</f>
        <v>2.5404415893623238</v>
      </c>
      <c r="BI15" s="243">
        <f>IF(ISNUMBER('Resol  Asuntos'!D15/NºAsuntos!G15),'Resol  Asuntos'!D15/NºAsuntos!G15," - ")</f>
        <v>0.14298870196087241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11</v>
      </c>
      <c r="B17" s="507" t="s">
        <v>396</v>
      </c>
      <c r="C17" s="7" t="str">
        <f>Datos!A17</f>
        <v>Jdos. Violencia contra la mujer</v>
      </c>
      <c r="D17" s="508"/>
      <c r="E17" s="1025">
        <f>IF(ISNUMBER(Datos!AQ17),Datos!AQ17," - ")</f>
        <v>11</v>
      </c>
      <c r="F17" s="225" t="str">
        <f>IF(ISNUMBER(AF17+AB17-I17-L17),AF17+AB17-I17-L17," - ")</f>
        <v xml:space="preserve"> - </v>
      </c>
      <c r="G17" s="333">
        <f>IF(ISNUMBER(IF(D_I="SI",Datos!I17,Datos!I17+Datos!AC17)),IF(D_I="SI",Datos!I17,Datos!I17+Datos!AC17)," - ")</f>
        <v>3333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5816</v>
      </c>
      <c r="AC17" s="226">
        <f>IF(ISNUMBER(Datos!Q17),Datos!Q17," - ")</f>
        <v>25</v>
      </c>
      <c r="AD17" s="334"/>
      <c r="AE17" s="484"/>
      <c r="AF17" s="332">
        <f>IF(ISNUMBER(Datos!L17),Datos!L17,"-")</f>
        <v>3325</v>
      </c>
      <c r="AG17" s="334"/>
      <c r="AH17" s="334"/>
      <c r="AI17" s="334"/>
      <c r="AJ17" s="334"/>
      <c r="AK17" s="334"/>
      <c r="AL17" s="479"/>
      <c r="AM17" s="335">
        <f>IF(ISNUMBER(Datos!R17),Datos!R17," - ")</f>
        <v>31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88</v>
      </c>
      <c r="BD17" s="229">
        <f>IF(ISNUMBER(Datos!N17),Datos!N17," - ")</f>
        <v>4147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1.0107751129648941</v>
      </c>
      <c r="BH17" s="260">
        <f>IF(ISNUMBER(((IF(D_I="SI",Datos!L17/Datos!K17,(Datos!L17+Datos!AF17)/(Datos!K17+Datos!AE17)))*11)/factor_trimestre),((IF(D_I="SI",Datos!L17/Datos!K17,(Datos!L17+Datos!AF17)/(Datos!K17+Datos!AE17)))*11)/factor_trimestre," - ")</f>
        <v>1.7150962861072903</v>
      </c>
      <c r="BI17" s="243">
        <f>IF(ISNUMBER('Resol  Asuntos'!D17/NºAsuntos!G17),'Resol  Asuntos'!D17/NºAsuntos!G17," - ")</f>
        <v>1.5130674002751032E-2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65</v>
      </c>
      <c r="F18" s="898">
        <f>SUBTOTAL(9,F15:F17)</f>
        <v>40045</v>
      </c>
      <c r="G18" s="898">
        <f>SUBTOTAL(9,G15:G17)</f>
        <v>41749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50337</v>
      </c>
      <c r="AC18" s="899">
        <f t="shared" si="4"/>
        <v>2894</v>
      </c>
      <c r="AD18" s="899">
        <f t="shared" si="4"/>
        <v>0</v>
      </c>
      <c r="AE18" s="899">
        <f t="shared" si="4"/>
        <v>0</v>
      </c>
      <c r="AF18" s="899">
        <f t="shared" si="4"/>
        <v>41026</v>
      </c>
      <c r="AG18" s="899">
        <f t="shared" si="4"/>
        <v>0</v>
      </c>
      <c r="AH18" s="899">
        <f t="shared" si="4"/>
        <v>0</v>
      </c>
      <c r="AI18" s="899">
        <f t="shared" si="4"/>
        <v>0</v>
      </c>
      <c r="AJ18" s="899">
        <f t="shared" si="4"/>
        <v>0</v>
      </c>
      <c r="AK18" s="899">
        <f t="shared" si="4"/>
        <v>0</v>
      </c>
      <c r="AL18" s="899">
        <f t="shared" si="4"/>
        <v>0</v>
      </c>
      <c r="AM18" s="899">
        <f t="shared" si="4"/>
        <v>4078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6454</v>
      </c>
      <c r="BD18" s="899">
        <f t="shared" si="4"/>
        <v>28158</v>
      </c>
      <c r="BE18" s="899">
        <f t="shared" si="4"/>
        <v>0</v>
      </c>
      <c r="BF18" s="899">
        <f t="shared" si="4"/>
        <v>0</v>
      </c>
      <c r="BG18" s="899">
        <f>IF(ISNUMBER(Datos!K18/Datos!J18),Datos!K18/Datos!J18," - ")</f>
        <v>1.0501971584152219</v>
      </c>
      <c r="BH18" s="903">
        <f>IF(ISNUMBER(((Datos!L18/Datos!K18)*11)/factor_trimestre),((Datos!L18/Datos!K18)*11)/factor_trimestre," - ")</f>
        <v>2.4450801597234642</v>
      </c>
      <c r="BI18" s="899">
        <f>SUBTOTAL(9,BI15:BI17)</f>
        <v>0.15811937596362344</v>
      </c>
      <c r="BJ18" s="899">
        <f>SUBTOTAL(9,BJ15:BJ17)</f>
        <v>0</v>
      </c>
      <c r="BK18" s="899">
        <f>SUBTOTAL(9,BK15:BK17)</f>
        <v>0</v>
      </c>
      <c r="BL18" s="899">
        <f>IF(ISNUMBER((I18-AB18+L18)/(F18)),(I18-AB18+L18)/(F18)," - ")</f>
        <v>-1.2570108627793732</v>
      </c>
      <c r="BM18" s="905">
        <f>IF(ISNUMBER((Datos!P18-Datos!Q18)/(Datos!R18-Datos!P18+Datos!Q18)),(Datos!P18-Datos!Q18)/(Datos!R18-Datos!P18+Datos!Q18)," - ")</f>
        <v>-3.4335780251006393E-2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181</v>
      </c>
      <c r="F19" s="820">
        <f t="shared" si="6"/>
        <v>41118</v>
      </c>
      <c r="G19" s="820">
        <f t="shared" si="6"/>
        <v>42823</v>
      </c>
      <c r="H19" s="822">
        <f t="shared" si="6"/>
        <v>0</v>
      </c>
      <c r="I19" s="820">
        <f t="shared" si="6"/>
        <v>0</v>
      </c>
      <c r="J19" s="822">
        <f t="shared" si="6"/>
        <v>0</v>
      </c>
      <c r="K19" s="822">
        <f t="shared" si="6"/>
        <v>0</v>
      </c>
      <c r="L19" s="881">
        <f t="shared" si="6"/>
        <v>0</v>
      </c>
      <c r="M19" s="881">
        <f t="shared" si="6"/>
        <v>0</v>
      </c>
      <c r="N19" s="881">
        <f t="shared" si="6"/>
        <v>5142</v>
      </c>
      <c r="O19" s="881">
        <f t="shared" si="6"/>
        <v>0</v>
      </c>
      <c r="P19" s="881">
        <f t="shared" si="6"/>
        <v>0</v>
      </c>
      <c r="Q19" s="822">
        <f t="shared" si="6"/>
        <v>13791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50828</v>
      </c>
      <c r="AC19" s="821">
        <f t="shared" si="7"/>
        <v>11886</v>
      </c>
      <c r="AD19" s="821">
        <f t="shared" si="7"/>
        <v>0</v>
      </c>
      <c r="AE19" s="821">
        <f t="shared" si="7"/>
        <v>0</v>
      </c>
      <c r="AF19" s="828">
        <f t="shared" si="7"/>
        <v>42082</v>
      </c>
      <c r="AG19" s="828">
        <f t="shared" si="7"/>
        <v>0</v>
      </c>
      <c r="AH19" s="828">
        <f t="shared" si="7"/>
        <v>2845</v>
      </c>
      <c r="AI19" s="828">
        <f t="shared" si="7"/>
        <v>0</v>
      </c>
      <c r="AJ19" s="821">
        <f t="shared" si="7"/>
        <v>0</v>
      </c>
      <c r="AK19" s="828">
        <f t="shared" si="7"/>
        <v>0</v>
      </c>
      <c r="AL19" s="828">
        <f t="shared" si="7"/>
        <v>0</v>
      </c>
      <c r="AM19" s="828">
        <f t="shared" si="7"/>
        <v>165176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26551</v>
      </c>
      <c r="BD19" s="820">
        <f t="shared" si="7"/>
        <v>75542</v>
      </c>
      <c r="BE19" s="820">
        <f t="shared" si="7"/>
        <v>0</v>
      </c>
      <c r="BF19" s="830">
        <f t="shared" si="7"/>
        <v>0</v>
      </c>
      <c r="BG19" s="915">
        <f>IF(ISNUMBER(Datos!K19/Datos!J19),Datos!K19/Datos!J19," - ")</f>
        <v>0.92259309702897108</v>
      </c>
      <c r="BH19" s="915">
        <f>IF(ISNUMBER(((Datos!L19/Datos!K19)*11)/factor_trimestre),((Datos!L19/Datos!K19)*11)/factor_trimestre," - ")</f>
        <v>7.9131979733088045</v>
      </c>
      <c r="BI19" s="813">
        <f>IF(ISNUMBER(Datos!J19/Datos!I19),Datos!J19/Datos!I19," - ")</f>
        <v>0.42761274839767038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-1.2361496181720901</v>
      </c>
      <c r="BM19" s="889">
        <f>IF(ISNUMBER((Datos!P19-Datos!Q19+R19)/(Datos!R19-Datos!P19+Datos!Q19-R19)),(Datos!P19-Datos!Q19+R19)/(Datos!R19-Datos!P19+Datos!Q19-R19)," - ")</f>
        <v>1.1667718088331669E-2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17129.2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42.946995755750415</v>
      </c>
      <c r="F21" s="551">
        <f>IF(ISNUMBER(STDEV(F8:F18)),STDEV(F8:F18),"-")</f>
        <v>22500.494690858093</v>
      </c>
      <c r="G21" s="552">
        <f>IF(ISNUMBER(STDEV(G8:G18)),STDEV(G8:G18),"-")</f>
        <v>21006.763403723096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24917.125440146581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8319.5482449469582</v>
      </c>
      <c r="BD21" s="551"/>
      <c r="BE21" s="551">
        <f>IF(ISNUMBER(STDEV(BE8:BE18)),STDEV(BE8:BE18),"-")</f>
        <v>0</v>
      </c>
      <c r="BF21" s="556">
        <f>IF(ISNUMBER(STDEV(BF8:BF18)),STDEV(BF8:BF18),"-")</f>
        <v>0</v>
      </c>
      <c r="BG21" s="775">
        <f>IF(ISNUMBER(STDEV(BG8:BG18)),STDEV(BG8:BG18),"-")</f>
        <v>8.5778151004779979E-2</v>
      </c>
      <c r="BH21" s="776">
        <f>IF(ISNUMBER(STDEV(BH8:BH18)),STDEV(BH8:BH18),"-")</f>
        <v>4.0128700562800086</v>
      </c>
      <c r="BI21" s="249">
        <f>IF(ISNUMBER(STDEV(BI8:BI18)),STDEV(BI8:BI18),"-")</f>
        <v>8.7709376400587999E-2</v>
      </c>
      <c r="BJ21" s="230" t="str">
        <f>IF(ISNUMBER(BL21/BM21),BL21/BM21," - ")</f>
        <v xml:space="preserve"> - </v>
      </c>
      <c r="BK21" s="575"/>
      <c r="BL21" s="559">
        <f>IF(ISNUMBER(STDEV(BL8:BL18)),STDEV(BL8:BL18),"-")</f>
        <v>0.5652720052245046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un1D+j5hkPGSb+Z58RyMVw7fi273ZP2D9Ej01Gb9LefezmhYsuxe9+HsoCYIyYt6DoTHmIXcV5JZYa/Cpej/Nw==" saltValue="VhBFh7uPoxBKGh2FoWu6j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MADRID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91</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10399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8325</v>
      </c>
      <c r="AA9" s="332" t="str">
        <f>IF(ISNUMBER(IF(J_V="SI",Datos!L9,Datos!L9+Datos!AB9)-IF(Monitorios="SI",Datos!CD9,0)),
                          IF(J_V="SI",Datos!L9,Datos!L9+Datos!AB9)-IF(Monitorios="SI",Datos!CD9,0),
                          " - ")</f>
        <v xml:space="preserve"> - </v>
      </c>
      <c r="AB9" s="334"/>
      <c r="AC9" s="334"/>
      <c r="AD9" s="484"/>
      <c r="AE9" s="484">
        <f>IF(ISNUMBER(Datos!R9),Datos!R9," - ")</f>
        <v>155173</v>
      </c>
      <c r="AF9" s="229" t="str">
        <f>IF(ISNUMBER(Datos!BV9),Datos!BV9," - ")</f>
        <v xml:space="preserve"> - </v>
      </c>
      <c r="AG9" s="225" t="str">
        <f>IF(ISNUMBER(Datos!DV9),Datos!DV9," - ")</f>
        <v xml:space="preserve"> - </v>
      </c>
      <c r="AH9" s="298"/>
      <c r="AI9" s="227"/>
      <c r="AJ9" s="225">
        <f>IF(ISNUMBER(Datos!M9),Datos!M9," - ")</f>
        <v>18134</v>
      </c>
      <c r="AK9" s="229">
        <f>IF(ISNUMBER(Datos!N9),Datos!N9," - ")</f>
        <v>45833</v>
      </c>
      <c r="AL9" s="229" t="str">
        <f>IF(ISNUMBER(Datos!BW9),Datos!BW9," - ")</f>
        <v xml:space="preserve"> - </v>
      </c>
      <c r="AM9" s="228" t="str">
        <f>IF(ISNUMBER(Datos!BX9),Datos!BX9," - ")</f>
        <v xml:space="preserve"> - </v>
      </c>
      <c r="AN9" s="243"/>
      <c r="AO9" s="260">
        <f>IF(ISNUMBER(((NºAsuntos!I9/NºAsuntos!G9)*11)/factor_trimestre),((NºAsuntos!I9/NºAsuntos!G9)*11)/factor_trimestre," - ")</f>
        <v>10.991262353732983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1.3546789985564895E-2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11</v>
      </c>
      <c r="B10" s="507" t="s">
        <v>246</v>
      </c>
      <c r="C10" s="7" t="str">
        <f>Datos!A10</f>
        <v>Jdos. Violencia contra la mujer</v>
      </c>
      <c r="D10" s="508"/>
      <c r="E10" s="1168">
        <f>IF(ISNUMBER(Datos!AQ10),Datos!AQ10," - ")</f>
        <v>11</v>
      </c>
      <c r="F10" s="225">
        <f>IF(ISNUMBER(Datos!L10+Datos!K10-Datos!J10),Datos!L10+Datos!K10-Datos!J10," - ")</f>
        <v>1073</v>
      </c>
      <c r="G10" s="225">
        <f>IF(ISNUMBER(Datos!I10),Datos!I10," - ")</f>
        <v>1074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491</v>
      </c>
      <c r="Z10" s="619">
        <f>IF(ISNUMBER(Datos!Q10),Datos!Q10," - ")</f>
        <v>98</v>
      </c>
      <c r="AA10" s="332">
        <f>IF(ISNUMBER(Datos!L10),Datos!L10,"-")</f>
        <v>1056</v>
      </c>
      <c r="AB10" s="334"/>
      <c r="AC10" s="334"/>
      <c r="AD10" s="484"/>
      <c r="AE10" s="484">
        <f>IF(ISNUMBER(Datos!R10),Datos!R10," - ")</f>
        <v>1094</v>
      </c>
      <c r="AF10" s="229" t="str">
        <f>IF(ISNUMBER(Datos!BV10),Datos!BV10," - ")</f>
        <v xml:space="preserve"> - </v>
      </c>
      <c r="AG10" s="225" t="str">
        <f>IF(ISNUMBER(Datos!DV10),Datos!DV10," - ")</f>
        <v xml:space="preserve"> - </v>
      </c>
      <c r="AH10" s="298"/>
      <c r="AI10" s="227"/>
      <c r="AJ10" s="225">
        <f>IF(ISNUMBER(Datos!M10),Datos!M10," - ")</f>
        <v>183</v>
      </c>
      <c r="AK10" s="229">
        <f>IF(ISNUMBER(Datos!N10),Datos!N10," - ")</f>
        <v>222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6.4521384928716907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1.6728624535315983E-2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14</v>
      </c>
      <c r="B11" s="507" t="s">
        <v>246</v>
      </c>
      <c r="C11" s="7" t="str">
        <f>Datos!A11</f>
        <v xml:space="preserve">Jdos. Familia                                   </v>
      </c>
      <c r="D11" s="508"/>
      <c r="E11" s="1168">
        <f>IF(ISNUMBER(Datos!AQ11),Datos!AQ11," - ")</f>
        <v>14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527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569</v>
      </c>
      <c r="AA11" s="332" t="str">
        <f>IF(ISNUMBER(IF(J_V="SI",Datos!L11,Datos!L11+Datos!AB11)-IF(Monitorios="SI",Datos!CD11,0)),
                          IF(J_V="SI",Datos!L11,Datos!L11+Datos!AB11)-IF(Monitorios="SI",Datos!CD11,0),
                          " - ")</f>
        <v xml:space="preserve"> - </v>
      </c>
      <c r="AB11" s="334"/>
      <c r="AC11" s="334"/>
      <c r="AD11" s="484"/>
      <c r="AE11" s="484">
        <f>IF(ISNUMBER(Datos!R11),Datos!R11," - ")</f>
        <v>4831</v>
      </c>
      <c r="AF11" s="229" t="str">
        <f>IF(ISNUMBER(Datos!BV11),Datos!BV11," - ")</f>
        <v xml:space="preserve"> - </v>
      </c>
      <c r="AG11" s="225" t="str">
        <f>IF(ISNUMBER(Datos!DV11),Datos!DV11," - ")</f>
        <v xml:space="preserve"> - </v>
      </c>
      <c r="AH11" s="298"/>
      <c r="AI11" s="227"/>
      <c r="AJ11" s="225">
        <f>IF(ISNUMBER(Datos!M11),Datos!M11," - ")</f>
        <v>1780</v>
      </c>
      <c r="AK11" s="229">
        <f>IF(ISNUMBER(Datos!N11),Datos!N11," - ")</f>
        <v>1329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4.4113354414984185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-8.6189205828032019E-3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116</v>
      </c>
      <c r="F13" s="898">
        <f>SUBTOTAL(9,F8:F12)</f>
        <v>1073</v>
      </c>
      <c r="G13" s="898">
        <f>SUBTOTAL(9,G8:G12)</f>
        <v>1074</v>
      </c>
      <c r="H13" s="908"/>
      <c r="I13" s="898">
        <f t="shared" ref="I13:N13" si="0">SUBTOTAL(9,I8:I12)</f>
        <v>0</v>
      </c>
      <c r="J13" s="867">
        <f t="shared" si="0"/>
        <v>0</v>
      </c>
      <c r="K13" s="908">
        <f t="shared" si="0"/>
        <v>0</v>
      </c>
      <c r="L13" s="908">
        <f t="shared" si="0"/>
        <v>0</v>
      </c>
      <c r="M13" s="908">
        <f t="shared" si="0"/>
        <v>0</v>
      </c>
      <c r="N13" s="908">
        <f t="shared" si="0"/>
        <v>11042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491</v>
      </c>
      <c r="Z13" s="907">
        <f t="shared" si="2"/>
        <v>8992</v>
      </c>
      <c r="AA13" s="900">
        <f t="shared" si="2"/>
        <v>1056</v>
      </c>
      <c r="AB13" s="900">
        <f t="shared" si="2"/>
        <v>0</v>
      </c>
      <c r="AC13" s="900">
        <f t="shared" si="2"/>
        <v>0</v>
      </c>
      <c r="AD13" s="900">
        <f t="shared" si="2"/>
        <v>0</v>
      </c>
      <c r="AE13" s="900">
        <f t="shared" si="2"/>
        <v>161098</v>
      </c>
      <c r="AF13" s="908">
        <f t="shared" si="2"/>
        <v>0</v>
      </c>
      <c r="AG13" s="908">
        <f t="shared" si="2"/>
        <v>0</v>
      </c>
      <c r="AH13" s="908">
        <f t="shared" si="2"/>
        <v>0</v>
      </c>
      <c r="AI13" s="908">
        <f t="shared" si="2"/>
        <v>0</v>
      </c>
      <c r="AJ13" s="908">
        <f t="shared" si="2"/>
        <v>20097</v>
      </c>
      <c r="AK13" s="908">
        <f t="shared" si="2"/>
        <v>47384</v>
      </c>
      <c r="AL13" s="908">
        <f t="shared" si="2"/>
        <v>0</v>
      </c>
      <c r="AM13" s="908">
        <f t="shared" si="2"/>
        <v>0</v>
      </c>
      <c r="AN13" s="908">
        <f t="shared" si="2"/>
        <v>0</v>
      </c>
      <c r="AO13" s="904">
        <f>IF(ISNUMBER(((NºAsuntos!I13/NºAsuntos!G13)*11)/factor_trimestre),((NºAsuntos!I13/NºAsuntos!G13)*11)/factor_trimestre," - ")</f>
        <v>10.663366669279787</v>
      </c>
      <c r="AP13" s="910" t="str">
        <f>IF(ISNUMBER(Datos!CI13/Datos!CJ13),Datos!CI13/Datos!CJ13," - ")</f>
        <v xml:space="preserve"> - </v>
      </c>
      <c r="AQ13" s="928">
        <f t="shared" ref="AQ13:AV13" si="3">SUBTOTAL(9,AQ9:AQ12)</f>
        <v>0</v>
      </c>
      <c r="AR13" s="928">
        <f t="shared" si="3"/>
        <v>2.1656493938077677E-2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54</v>
      </c>
      <c r="B15" s="507" t="s">
        <v>396</v>
      </c>
      <c r="C15" s="160" t="str">
        <f>Datos!A15</f>
        <v xml:space="preserve">Jdos. Instrucción                               </v>
      </c>
      <c r="D15" s="502"/>
      <c r="E15" s="1168">
        <f>IF(ISNUMBER(Datos!AQ15),Datos!AQ15," - ")</f>
        <v>54</v>
      </c>
      <c r="F15" s="333">
        <f>IF(ISNUMBER(AA15+Y15-Datos!J15-K15),AA15+Y15-Datos!J15-K15," - ")</f>
        <v>40045</v>
      </c>
      <c r="G15" s="225">
        <f>IF(ISNUMBER(IF(D_I="SI",Datos!I15,Datos!I15+Datos!AC15)),IF(D_I="SI",Datos!I15,Datos!I15+Datos!AC15)," - ")</f>
        <v>38416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2728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44521</v>
      </c>
      <c r="Z15" s="619">
        <f>IF(ISNUMBER(Datos!Q15),Datos!Q15," - ")</f>
        <v>2869</v>
      </c>
      <c r="AA15" s="332">
        <f>IF(ISNUMBER(IF(D_I="SI",Datos!L15,Datos!L15+Datos!AF15)),IF(D_I="SI",Datos!L15,Datos!L15+Datos!AF15)," - ")</f>
        <v>37701</v>
      </c>
      <c r="AB15" s="334"/>
      <c r="AC15" s="334"/>
      <c r="AD15" s="484"/>
      <c r="AE15" s="484">
        <f>IF(ISNUMBER(Datos!R15),Datos!R15," - ")</f>
        <v>4047</v>
      </c>
      <c r="AF15" s="229" t="str">
        <f>IF(ISNUMBER(Datos!BV15),Datos!BV15," - ")</f>
        <v xml:space="preserve"> - </v>
      </c>
      <c r="AG15" s="225"/>
      <c r="AH15" s="298"/>
      <c r="AI15" s="227"/>
      <c r="AJ15" s="225">
        <f>IF(ISNUMBER(Datos!M15),Datos!M15," - ")</f>
        <v>6366</v>
      </c>
      <c r="AK15" s="229">
        <f>IF(ISNUMBER(Datos!N15),Datos!N15," - ")</f>
        <v>24011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2.5404415893623238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11</v>
      </c>
      <c r="B17" s="507" t="s">
        <v>396</v>
      </c>
      <c r="C17" s="7" t="str">
        <f>Datos!A17</f>
        <v>Jdos. Violencia contra la mujer</v>
      </c>
      <c r="D17" s="508"/>
      <c r="E17" s="1168">
        <f>IF(ISNUMBER(Datos!AQ17),Datos!AQ17," - ")</f>
        <v>11</v>
      </c>
      <c r="F17" s="225" t="str">
        <f>IF(ISNUMBER(AA17+Y17-I17-K17),AA17+Y17-I17-K17," - ")</f>
        <v xml:space="preserve"> - </v>
      </c>
      <c r="G17" s="523">
        <f>IF(ISNUMBER(IF(D_I="SI",Datos!I17,Datos!I17+Datos!AC17)),IF(D_I="SI",Datos!I17,Datos!I17+Datos!AC17)," - ")</f>
        <v>3333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5816</v>
      </c>
      <c r="Z17" s="619">
        <f>IF(ISNUMBER(Datos!Q17),Datos!Q17," - ")</f>
        <v>25</v>
      </c>
      <c r="AA17" s="332">
        <f>IF(ISNUMBER(Datos!L17),Datos!L17,"-")</f>
        <v>3325</v>
      </c>
      <c r="AB17" s="334"/>
      <c r="AC17" s="334"/>
      <c r="AD17" s="484"/>
      <c r="AE17" s="484">
        <f>IF(ISNUMBER(Datos!R17),Datos!R17," - ")</f>
        <v>31</v>
      </c>
      <c r="AF17" s="229" t="str">
        <f>IF(ISNUMBER(Datos!BV17),Datos!BV17," - ")</f>
        <v xml:space="preserve"> - </v>
      </c>
      <c r="AG17" s="225" t="str">
        <f>IF(ISNUMBER(Datos!DV17),Datos!DV17," - ")</f>
        <v xml:space="preserve"> - </v>
      </c>
      <c r="AH17" s="298"/>
      <c r="AI17" s="227"/>
      <c r="AJ17" s="225">
        <f>IF(ISNUMBER(Datos!M17),Datos!M17," - ")</f>
        <v>88</v>
      </c>
      <c r="AK17" s="229">
        <f>IF(ISNUMBER(Datos!N17),Datos!N17," - ")</f>
        <v>4147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1.7150962861072903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65</v>
      </c>
      <c r="F18" s="898">
        <f>SUBTOTAL(9,F15:F17)</f>
        <v>40045</v>
      </c>
      <c r="G18" s="898">
        <f>SUBTOTAL(9,G15:G17)</f>
        <v>41749</v>
      </c>
      <c r="H18" s="932">
        <f>SUBTOTAL(9,H15:H17)</f>
        <v>0</v>
      </c>
      <c r="I18" s="911">
        <f>SUBTOTAL(9,I15:I17)</f>
        <v>0</v>
      </c>
      <c r="J18" s="867">
        <f>SUBTOTAL(9,J14:J17)</f>
        <v>0</v>
      </c>
      <c r="K18" s="932">
        <f t="shared" ref="K18:S18" si="4">SUBTOTAL(9,K15:K17)</f>
        <v>0</v>
      </c>
      <c r="L18" s="932">
        <f t="shared" si="4"/>
        <v>0</v>
      </c>
      <c r="M18" s="932">
        <f t="shared" si="4"/>
        <v>0</v>
      </c>
      <c r="N18" s="932">
        <f t="shared" si="4"/>
        <v>2749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50337</v>
      </c>
      <c r="Z18" s="932">
        <f t="shared" si="5"/>
        <v>2894</v>
      </c>
      <c r="AA18" s="932">
        <f t="shared" si="5"/>
        <v>41026</v>
      </c>
      <c r="AB18" s="932">
        <f t="shared" si="5"/>
        <v>0</v>
      </c>
      <c r="AC18" s="932">
        <f t="shared" si="5"/>
        <v>0</v>
      </c>
      <c r="AD18" s="932">
        <f t="shared" si="5"/>
        <v>0</v>
      </c>
      <c r="AE18" s="932">
        <f t="shared" si="5"/>
        <v>4078</v>
      </c>
      <c r="AF18" s="932">
        <f t="shared" si="5"/>
        <v>0</v>
      </c>
      <c r="AG18" s="932">
        <f t="shared" si="5"/>
        <v>0</v>
      </c>
      <c r="AH18" s="932">
        <f t="shared" si="5"/>
        <v>0</v>
      </c>
      <c r="AI18" s="932">
        <f t="shared" si="5"/>
        <v>0</v>
      </c>
      <c r="AJ18" s="932">
        <f t="shared" si="5"/>
        <v>6454</v>
      </c>
      <c r="AK18" s="932">
        <f t="shared" si="5"/>
        <v>28158</v>
      </c>
      <c r="AL18" s="932">
        <f t="shared" si="5"/>
        <v>0</v>
      </c>
      <c r="AM18" s="932">
        <f t="shared" si="5"/>
        <v>0</v>
      </c>
      <c r="AN18" s="932">
        <f t="shared" si="5"/>
        <v>0</v>
      </c>
      <c r="AO18" s="934">
        <f>IF(ISNUMBER(((NºAsuntos!I18/NºAsuntos!G18)*11)/factor_trimestre),((NºAsuntos!I18/NºAsuntos!G18)*11)/factor_trimestre," - ")</f>
        <v>2.4450801597234642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181</v>
      </c>
      <c r="F19" s="820">
        <f t="shared" si="7"/>
        <v>41118</v>
      </c>
      <c r="G19" s="820">
        <f t="shared" si="7"/>
        <v>42823</v>
      </c>
      <c r="H19" s="821">
        <f t="shared" si="7"/>
        <v>0</v>
      </c>
      <c r="I19" s="820">
        <f t="shared" si="7"/>
        <v>0</v>
      </c>
      <c r="J19" s="822">
        <f t="shared" si="7"/>
        <v>0</v>
      </c>
      <c r="K19" s="820">
        <f t="shared" si="7"/>
        <v>0</v>
      </c>
      <c r="L19" s="823">
        <f t="shared" si="7"/>
        <v>0</v>
      </c>
      <c r="M19" s="820">
        <f t="shared" si="7"/>
        <v>0</v>
      </c>
      <c r="N19" s="821">
        <f t="shared" si="7"/>
        <v>13791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50828</v>
      </c>
      <c r="Z19" s="827">
        <f t="shared" si="8"/>
        <v>11886</v>
      </c>
      <c r="AA19" s="828">
        <f t="shared" si="8"/>
        <v>42082</v>
      </c>
      <c r="AB19" s="828">
        <f t="shared" si="8"/>
        <v>0</v>
      </c>
      <c r="AC19" s="828">
        <f t="shared" si="8"/>
        <v>0</v>
      </c>
      <c r="AD19" s="829">
        <f t="shared" si="8"/>
        <v>0</v>
      </c>
      <c r="AE19" s="829">
        <f t="shared" si="8"/>
        <v>165176</v>
      </c>
      <c r="AF19" s="830">
        <f t="shared" si="8"/>
        <v>0</v>
      </c>
      <c r="AG19" s="831">
        <f t="shared" si="8"/>
        <v>0</v>
      </c>
      <c r="AH19" s="832">
        <f t="shared" si="8"/>
        <v>0</v>
      </c>
      <c r="AI19" s="830">
        <f t="shared" si="8"/>
        <v>0</v>
      </c>
      <c r="AJ19" s="820">
        <f t="shared" si="8"/>
        <v>26551</v>
      </c>
      <c r="AK19" s="820">
        <f t="shared" si="8"/>
        <v>75542</v>
      </c>
      <c r="AL19" s="820">
        <f t="shared" si="8"/>
        <v>0</v>
      </c>
      <c r="AM19" s="833">
        <f t="shared" si="8"/>
        <v>0</v>
      </c>
      <c r="AN19" s="823">
        <f>IF(ISNUMBER(Datos!K19/Datos!J19),Datos!K19/Datos!J19," - ")</f>
        <v>0.92259309702897108</v>
      </c>
      <c r="AO19" s="823">
        <f>IF(ISNUMBER(FIND("06",Criterios!A8,1)),(IF(ISNUMBER(((Datos!R19/Datos!Q19)*11)/factor_trimestre),((Datos!R19/Datos!Q19)*11)/factor_trimestre," - ")),(IF(ISNUMBER(((Datos!L19/Datos!K19)*11)/factor_trimestre),((Datos!L19/Datos!K19)*11)/factor_trimestre," - ")))</f>
        <v>7.9131979733088045</v>
      </c>
      <c r="AP19" s="834" t="str">
        <f>IF(ISNUMBER(Datos!CI19/Datos!CJ19),Datos!CI19/Datos!CJ19," - ")</f>
        <v xml:space="preserve"> - </v>
      </c>
      <c r="AQ19" s="834">
        <f>IF(OR(ISNUMBER(FIND("01",Criterios!A8,1)),ISNUMBER(FIND("02",Criterios!A8,1)),ISNUMBER(FIND("03",Criterios!A8,1)),ISNUMBER(FIND("04",Criterios!A8,1))),(J19-Y19+K19)/(F19-K19),(I19-Y19+K19)/(F19-K19))</f>
        <v>-1.2361496181720901</v>
      </c>
      <c r="AR19" s="834">
        <f>IF(ISNUMBER((Datos!P19-Datos!Q19+O19)/(Datos!R19-Datos!P19+Datos!Q19-O19)),(Datos!P19-Datos!Q19+O19)/(Datos!R19-Datos!P19+Datos!Q19-O19)," - ")</f>
        <v>1.1667718088331669E-2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17129.2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22500.494690858093</v>
      </c>
      <c r="G21" s="552">
        <f>IF(ISNUMBER(STDEV(G8:G18)),STDEV(G8:G18),"-")</f>
        <v>21006.763403723096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8319.5482449469582</v>
      </c>
      <c r="AK21" s="252"/>
      <c r="AL21" s="252">
        <f>IF(ISNUMBER(STDEV(AL8:AL18)),STDEV(AL8:AL18),"-")</f>
        <v>0</v>
      </c>
      <c r="AM21" s="254">
        <f>IF(ISNUMBER(STDEV(AM8:AM18)),STDEV(AM8:AM18),"-")</f>
        <v>0</v>
      </c>
      <c r="AN21" s="539">
        <f>IF(ISNUMBER(STDEV(AN8:AN18)),STDEV(AN8:AN18),"-")</f>
        <v>0</v>
      </c>
      <c r="AO21" s="540">
        <f>IF(ISNUMBER(STDEV(AO8:AO18)),STDEV(AO8:AO18),"-")</f>
        <v>3.8997713373773051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r1Y/cigy5NdH27OrOPS7UG8vntoCrHnUXcsEm7QkXXpbFfp6wwdVyci4cZ3kWv3Blokwi3j+SINKvom5TcOXA==" saltValue="ci4eCiM/nMQStnXXYy5Pd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gfa5etNZqWlkGbYyFkcvdbE2c+Mf8ddEpIgH3ge/PJPU+FCxUUlXoqY1QjqkJrkbrTIOIHz8rwKLS/k5P93EQ==" saltValue="WL5Qm6nDTf3ngbzSrt2o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5/lsH0vg7fHkMqyYZmCDoeVAYq7jjLgRyfgXOspT0bbgTYXoxT/0Auwv1KdMVbagvtfgqV/QZW4zKT+ZbDFig==" saltValue="zNC4YFt/ZHJ1Ww8eQpBmt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0.22506803444838902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0.15914713338678335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fZEw7LiaH2aVspWRYjbb5HV14R0/E6wvjGQWsU5wIzsz0tOwQ0GqYYLhlaevduFvfQF7WWyuNd7w6WkgtwpXw==" saltValue="67LO1v440v/5rNhw7l1FI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P7PuuUE+ODmPDO0ft24Um8nq+jhsyvdvA16Ju7cP2kPkbZyjNZrEPOoy1oV+aG7SgVh2W6HLP7zB5GEjyt+/pQ==" saltValue="HbQrUC3OEvouv9yadpd+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MADRID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91</v>
      </c>
      <c r="B9" s="501" t="s">
        <v>246</v>
      </c>
      <c r="C9" s="160" t="str">
        <f>Datos!A9</f>
        <v xml:space="preserve">Jdos. 1ª Instancia   </v>
      </c>
      <c r="D9" s="502"/>
      <c r="E9" s="682">
        <f>IF(ISNUMBER(Datos!AQ9),Datos!AQ9," - ")</f>
        <v>91</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11</v>
      </c>
      <c r="B10" s="507" t="s">
        <v>246</v>
      </c>
      <c r="C10" s="7" t="str">
        <f>Datos!A10</f>
        <v>Jdos. Violencia contra la mujer</v>
      </c>
      <c r="D10" s="508"/>
      <c r="E10" s="682">
        <f>IF(ISNUMBER(Datos!AQ10),Datos!AQ10," - ")</f>
        <v>11</v>
      </c>
      <c r="F10" s="683">
        <f>IF(ISNUMBER(Datos!L10+Datos!K10-Datos!J10),Datos!L10+Datos!K10-Datos!J10," - ")</f>
        <v>1073</v>
      </c>
      <c r="G10" s="684">
        <f>IF(ISNUMBER(Datos!I10),Datos!I10," - ")</f>
        <v>1074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491</v>
      </c>
      <c r="AC10" s="683" t="str">
        <f>IF(ISNUMBER(IF(D_I="SI",DatosP!K17,DatosP!K17+DatosP!AE17)),IF(D_I="SI",DatosP!K17,DatosP!K17+DatosP!AE17)," - ")</f>
        <v xml:space="preserve"> - </v>
      </c>
      <c r="AD10" s="685"/>
      <c r="AE10" s="685"/>
      <c r="AF10" s="688">
        <f>IF(ISNUMBER(Datos!L10),Datos!L10,"-")</f>
        <v>1056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183</v>
      </c>
      <c r="AM10" s="690">
        <f>IF(ISNUMBER(Datos!N10+DatosP!N17),Datos!N10+DatosP!N17," - ")</f>
        <v>222</v>
      </c>
      <c r="AN10" s="690">
        <f>IF(ISNUMBER(Datos!BW10+DatosP!BW17),Datos!BW10+DatosP!BW17," - ")</f>
        <v>0</v>
      </c>
      <c r="AO10" s="691">
        <f>IF(ISNUMBER(Datos!BX10+DatosP!BX17),Datos!BX10+DatosP!BX17," - ")</f>
        <v>0</v>
      </c>
      <c r="AP10" s="693">
        <f>IF(ISNUMBER(((Datos!L10/Datos!K10)*11)/factor_trimestre),((Datos!L10/Datos!K10)*11)/factor_trimestre," - ")</f>
        <v>6.4521384928716907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14</v>
      </c>
      <c r="B11" s="507" t="s">
        <v>246</v>
      </c>
      <c r="C11" s="7" t="str">
        <f>Datos!A11</f>
        <v xml:space="preserve">Jdos. Familia                                   </v>
      </c>
      <c r="D11" s="508"/>
      <c r="E11" s="682">
        <f>IF(ISNUMBER(Datos!AQ11),Datos!AQ11," - ")</f>
        <v>14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116</v>
      </c>
      <c r="F13" s="938">
        <f t="shared" si="0"/>
        <v>1073</v>
      </c>
      <c r="G13" s="938">
        <f t="shared" si="0"/>
        <v>1074</v>
      </c>
      <c r="H13" s="938">
        <f t="shared" si="0"/>
        <v>0</v>
      </c>
      <c r="I13" s="940">
        <f t="shared" si="0"/>
        <v>0</v>
      </c>
      <c r="J13" s="939">
        <f t="shared" si="0"/>
        <v>0</v>
      </c>
      <c r="K13" s="939">
        <f t="shared" si="0"/>
        <v>0</v>
      </c>
      <c r="L13" s="941">
        <f t="shared" si="0"/>
        <v>0</v>
      </c>
      <c r="M13" s="941">
        <f t="shared" si="0"/>
        <v>0</v>
      </c>
      <c r="N13" s="939">
        <f t="shared" si="0"/>
        <v>116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491</v>
      </c>
      <c r="AC13" s="939">
        <f t="shared" si="1"/>
        <v>0</v>
      </c>
      <c r="AD13" s="939">
        <f t="shared" si="1"/>
        <v>0</v>
      </c>
      <c r="AE13" s="939">
        <f t="shared" si="1"/>
        <v>0</v>
      </c>
      <c r="AF13" s="939">
        <f t="shared" si="1"/>
        <v>1056</v>
      </c>
      <c r="AG13" s="939">
        <f t="shared" si="1"/>
        <v>0</v>
      </c>
      <c r="AH13" s="939">
        <f t="shared" si="1"/>
        <v>0</v>
      </c>
      <c r="AI13" s="939">
        <f t="shared" si="1"/>
        <v>0</v>
      </c>
      <c r="AJ13" s="939">
        <f t="shared" si="1"/>
        <v>0</v>
      </c>
      <c r="AK13" s="939">
        <f t="shared" si="1"/>
        <v>0</v>
      </c>
      <c r="AL13" s="939">
        <f t="shared" si="1"/>
        <v>183</v>
      </c>
      <c r="AM13" s="939">
        <f t="shared" si="1"/>
        <v>222</v>
      </c>
      <c r="AN13" s="939">
        <f t="shared" si="1"/>
        <v>0</v>
      </c>
      <c r="AO13" s="939">
        <f t="shared" si="1"/>
        <v>0</v>
      </c>
      <c r="AP13" s="944">
        <f>IF(ISNUMBER(((Datos!L13/Datos!K13)*11)/factor_trimestre),((Datos!L13/Datos!K13)*11)/factor_trimestre," - ")</f>
        <v>11.171966755067247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-0.4575955265610438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2.4450801597234642</v>
      </c>
      <c r="AQ18" s="944">
        <f>IF(ISNUMBER(((Datos!M18/Datos!L18)*11)/factor_trimestre),((Datos!M18/Datos!L18)*11)/factor_trimestre," - ")</f>
        <v>0.47194462048457081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-3.4335780251006393E-2</v>
      </c>
      <c r="AW18" s="946">
        <f>IF(ISNUMBER((Datos!Q18-Datos!R18)/(Datos!S18-Datos!Q18+Datos!R18)),(Datos!Q18-Datos!R18)/(Datos!S18-Datos!Q18+Datos!R18)," - ")</f>
        <v>-2.8026322018652655E-2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116</v>
      </c>
      <c r="F19" s="951">
        <f t="shared" si="4"/>
        <v>1073</v>
      </c>
      <c r="G19" s="951">
        <f t="shared" si="4"/>
        <v>1074</v>
      </c>
      <c r="H19" s="951">
        <f t="shared" si="4"/>
        <v>0</v>
      </c>
      <c r="I19" s="952">
        <f t="shared" si="4"/>
        <v>0</v>
      </c>
      <c r="J19" s="953">
        <f t="shared" si="4"/>
        <v>0</v>
      </c>
      <c r="K19" s="953">
        <f t="shared" si="4"/>
        <v>0</v>
      </c>
      <c r="L19" s="953">
        <f t="shared" si="4"/>
        <v>0</v>
      </c>
      <c r="M19" s="953">
        <f t="shared" si="4"/>
        <v>0</v>
      </c>
      <c r="N19" s="952">
        <f t="shared" si="4"/>
        <v>116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491</v>
      </c>
      <c r="AC19" s="957">
        <f t="shared" si="5"/>
        <v>0</v>
      </c>
      <c r="AD19" s="957">
        <f t="shared" si="5"/>
        <v>0</v>
      </c>
      <c r="AE19" s="957">
        <f t="shared" si="5"/>
        <v>0</v>
      </c>
      <c r="AF19" s="958">
        <f t="shared" si="5"/>
        <v>1056</v>
      </c>
      <c r="AG19" s="958">
        <f t="shared" si="5"/>
        <v>0</v>
      </c>
      <c r="AH19" s="958">
        <f t="shared" si="5"/>
        <v>0</v>
      </c>
      <c r="AI19" s="958">
        <f t="shared" si="5"/>
        <v>0</v>
      </c>
      <c r="AJ19" s="959">
        <f t="shared" si="5"/>
        <v>0</v>
      </c>
      <c r="AK19" s="959">
        <f t="shared" si="5"/>
        <v>0</v>
      </c>
      <c r="AL19" s="951">
        <f t="shared" si="5"/>
        <v>183</v>
      </c>
      <c r="AM19" s="951">
        <f t="shared" si="5"/>
        <v>222</v>
      </c>
      <c r="AN19" s="951">
        <f t="shared" si="5"/>
        <v>0</v>
      </c>
      <c r="AO19" s="951">
        <f t="shared" si="5"/>
        <v>0</v>
      </c>
      <c r="AP19" s="951">
        <f>IF(ISNUMBER(((Datos!L19/Datos!K19)*11)/factor_trimestre),((Datos!L19/Datos!K19)*11)/factor_trimestre," - ")</f>
        <v>7.9131979733088045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-0.4575955265610438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1.1667718088331669E-2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51.153364177409358</v>
      </c>
      <c r="F21" s="736">
        <f>IF(ISNUMBER(STDEV(F8:F18)),STDEV(F8:F18),"-")</f>
        <v>619.49683884046851</v>
      </c>
      <c r="G21" s="737">
        <f>IF(ISNUMBER(STDEV(G8:G18)),STDEV(G8:G18),"-")</f>
        <v>620.07418910965805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283.47898217210627</v>
      </c>
      <c r="AC21" s="738">
        <f>IF(ISNUMBER(STDEV(AC8:AC18)),STDEV(AC8:AC18),"-")</f>
        <v>0</v>
      </c>
      <c r="AD21" s="741"/>
      <c r="AE21" s="741"/>
      <c r="AF21" s="741"/>
      <c r="AG21" s="741"/>
      <c r="AH21" s="741"/>
      <c r="AI21" s="741"/>
      <c r="AJ21" s="742">
        <f>IF(ISNUMBER(STDEV(AJ8:AJ18)),STDEV(AJ8:AJ18),"-")</f>
        <v>0</v>
      </c>
      <c r="AK21" s="744"/>
      <c r="AL21" s="736">
        <f>IF(ISNUMBER(STDEV(AL8:AL18)),STDEV(AL8:AL18),"-")</f>
        <v>105.65509926170151</v>
      </c>
      <c r="AM21" s="736"/>
      <c r="AN21" s="736">
        <f>IF(ISNUMBER(STDEV(AN8:AN18)),STDEV(AN8:AN18),"-")</f>
        <v>0</v>
      </c>
      <c r="AO21" s="742">
        <f>IF(ISNUMBER(STDEV(AO8:AO18)),STDEV(AO8:AO18),"-")</f>
        <v>0</v>
      </c>
      <c r="AP21" s="779">
        <f>IF(ISNUMBER(STDEV(AP8:AP18)),STDEV(AP8:AP18),"-")</f>
        <v>4.3682919041249884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7/KOEGNw6vxpf1RtpDlfo02R2T7NKDd8Cfe63ibu9eVgrxlDQfLQE1fnsv4X3MjglzC6RfcPwbwyMQOdFidJzw==" saltValue="/ZLSom0z/89Sy80gnuYN7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